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<sst xmlns="http://schemas.openxmlformats.org/spreadsheetml/2006/main" uniqueCount="141">
  <si>
    <t>REPORTE DE VENTAS</t>
  </si>
  <si>
    <t>FECHA DE REPORTE:</t>
  </si>
  <si>
    <t>11/11/2023</t>
  </si>
  <si>
    <t>CRITERIO DE FILTRO:</t>
  </si>
  <si>
    <t>RANGO DE FECHAS:</t>
  </si>
  <si>
    <t>Desde 01/10/2023 hasta 31/10/2023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</si>
  <si>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</si>
  <si>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</si>
  <si>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</si>
  <si>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</si>
  <si>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</si>
  <si>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</si>
  <si>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</si>
  <si>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</si>
  <si>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</si>
  <si>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</si>
  <si>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</si>
  <si>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</si>
  <si>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</si>
  <si>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</si>
  <si>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</si>
  <si>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</si>
  <si>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</si>
  <si>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</si>
  <si>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</si>
  <si>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</si>
  <si>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</si>
  <si>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</si>
  <si>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</si>
  <si>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</si>
  <si>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</si>
  <si>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</si>
  <si>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01/10/2023</t>
  </si>
  <si>
    <t>03</t>
  </si>
  <si>
    <t>B001</t>
  </si>
  <si>
    <t>PUBLICO</t>
  </si>
  <si>
    <t>02/10/2023</t>
  </si>
  <si>
    <t>01</t>
  </si>
  <si>
    <t>F001</t>
  </si>
  <si>
    <t>BENAVIDES INGENIERIA Y CONSTRUCCION S.R.L.</t>
  </si>
  <si>
    <t>COMITE DE FIESTA NSL - 2023</t>
  </si>
  <si>
    <t>UNIDAD EJECUTORA SALUD HUALGAYOC - BAMBAMARCA</t>
  </si>
  <si>
    <t>GEOTHECNICAL &amp; ENVIRONMENTAL LABORATORY S.A</t>
  </si>
  <si>
    <t>03/10/2023</t>
  </si>
  <si>
    <t>INSTITUTO SUPERIOR PEDAGOGICO PUBLICO BAMBAMARCA</t>
  </si>
  <si>
    <t xml:space="preserve">CETPRO BAMBAMARCA </t>
  </si>
  <si>
    <t>I.E. SAN CARLOS - BAMBAMARCA</t>
  </si>
  <si>
    <t>COOPERATIVA AHORRO Y CREDITO N.S. ROSARI</t>
  </si>
  <si>
    <t>CALERA EL ZASAL S.A.C.</t>
  </si>
  <si>
    <t>JOSE REYES</t>
  </si>
  <si>
    <t>EDWIN SILVA CRUZADO</t>
  </si>
  <si>
    <t>CONSORCIO CERRILLO</t>
  </si>
  <si>
    <t>CARITAS DEL PERU</t>
  </si>
  <si>
    <t>04/10/2023</t>
  </si>
  <si>
    <t>I.E. NÂ° 82661 NUESTRA SEÃORA DE LOURDES</t>
  </si>
  <si>
    <t>INSTITUTO SUPERIOR DE EDUCACIÃN PRIVADO "HORACIO URTEAGA"</t>
  </si>
  <si>
    <t>FERRETERIA HUAMAN E.I.R.L.</t>
  </si>
  <si>
    <t>CONSORCIO NUEVA ESPERANZA</t>
  </si>
  <si>
    <t>CENTRO DE SALUD VIRGEN DEL CARMEN - BCA</t>
  </si>
  <si>
    <t>I.E SAN FRANCISCO DE ASIS-LLAUCAN</t>
  </si>
  <si>
    <t>05/10/2023</t>
  </si>
  <si>
    <t xml:space="preserve">I.E. 82935 CHALA  ALAN </t>
  </si>
  <si>
    <t>MUNICIPALIDAD PROVINCIAL DE HUALGAYOC</t>
  </si>
  <si>
    <t>ASOCIACION BETHEL</t>
  </si>
  <si>
    <t>06/10/2023</t>
  </si>
  <si>
    <t>COOPERATIVA DE AHORRO Y CREDITO TODOS LOS SANTOS DE CHOTA LTDA 560</t>
  </si>
  <si>
    <t>I.E.NUESTRA SEÃORA DE LOURDES</t>
  </si>
  <si>
    <t xml:space="preserve">SAMUEL LLAMO LEIVA </t>
  </si>
  <si>
    <t>07/10/2023</t>
  </si>
  <si>
    <t>CALERA BENDICION DE DIOS EMPRESA INDIVIDUAL DE RESPONSABILIDAD LIMITADA</t>
  </si>
  <si>
    <t>CONSULTORIA E INGENIERIA INTEGRAL MEC EIRL</t>
  </si>
  <si>
    <t>I.E.NÂ° 82662</t>
  </si>
  <si>
    <t>08/10/2023</t>
  </si>
  <si>
    <t>I.E.82698- EL ROMERO</t>
  </si>
  <si>
    <t>09/10/2023</t>
  </si>
  <si>
    <t>GIGANTES DE LA INDUSTRIA S.A.C.</t>
  </si>
  <si>
    <t>PRÃNCIPE DE PAZ - BAMBAMARCA</t>
  </si>
  <si>
    <t>ASOCIACION  IGLESIA ADVENTISTA DEL SEPTIMO DIA PERUANA  DEL NORTE</t>
  </si>
  <si>
    <t>10/10/2023</t>
  </si>
  <si>
    <t>ANIVERSARIO SAN CARLOS</t>
  </si>
  <si>
    <t>CORPORACION EDUCATIVA LUIS REBAZA NEIRA S.R.L.</t>
  </si>
  <si>
    <t>11/10/2023</t>
  </si>
  <si>
    <t>CUÃAPE INVERSIONES SOCIEDAD ANONIMA CERRADA-CUÃAPE INVERSIONES S.A.C.</t>
  </si>
  <si>
    <t>12/10/2023</t>
  </si>
  <si>
    <t>ARMANDO QUISPE CHILE</t>
  </si>
  <si>
    <t>I.E. JUAN VELASCO ALVARADO</t>
  </si>
  <si>
    <t>EMPRESA DE SERVICIOS MULTIPLES CRECE CAJAMARCA S.A.C.</t>
  </si>
  <si>
    <t>BET GOLD MARIN E.I.R.L.</t>
  </si>
  <si>
    <t>13/10/2023</t>
  </si>
  <si>
    <t>14/10/2023</t>
  </si>
  <si>
    <t>I.E. NUESTRA SEÃORA DE LOURDES</t>
  </si>
  <si>
    <t>15/10/2023</t>
  </si>
  <si>
    <t>POMOCION 98</t>
  </si>
  <si>
    <t>ACTIVOS MINEROS S.A.C.</t>
  </si>
  <si>
    <t>16/10/2023</t>
  </si>
  <si>
    <t>CENTRO DE SALUD MENTAL</t>
  </si>
  <si>
    <t>UNIDAD DE GESTION EDUCATIVA LOCAL DE LA PROVINCIA DE HUALGAYOC</t>
  </si>
  <si>
    <t>17/10/2023</t>
  </si>
  <si>
    <t>18/10/2023</t>
  </si>
  <si>
    <t>MIFARMA S.A.C.</t>
  </si>
  <si>
    <t>MUNICIPALIDAD DEL CENTRO POBLADO DE PUSOC</t>
  </si>
  <si>
    <t>19/10/2023</t>
  </si>
  <si>
    <t>WORLDÂ´S TV SOCIEDAD ANONIMA CERRADA - WORLDÂ´S TV S.A.C.</t>
  </si>
  <si>
    <t>MIBANCO - BANCO DE LA MICROEMPRESA S.A.</t>
  </si>
  <si>
    <t>20/10/2023</t>
  </si>
  <si>
    <t>DEYSI ATALAYA</t>
  </si>
  <si>
    <t>21/10/2023</t>
  </si>
  <si>
    <t>22/10/2023</t>
  </si>
  <si>
    <t>TRANSPARENCIA INTEGRAL DE DESARROLLO SRL</t>
  </si>
  <si>
    <t>SALAZAR DE MEJIA LUCILA</t>
  </si>
  <si>
    <t>23/10/2023</t>
  </si>
  <si>
    <t>DORIS MARIBEL BENAVIDEZ LEIVA</t>
  </si>
  <si>
    <t>CORTEZ TORIBIO SENIA</t>
  </si>
  <si>
    <t>I.E. 82679-HUALGAYOC</t>
  </si>
  <si>
    <t>24/10/2023</t>
  </si>
  <si>
    <t>CAIDIESEL S &amp; R S.A.C</t>
  </si>
  <si>
    <t>SANCHEZ HORNEROS GOMEZ ANTONIO</t>
  </si>
  <si>
    <t>I.E.I.NÂ° 403  HUANGAMARCA - 3 Y 4 AÃOS</t>
  </si>
  <si>
    <t>25/10/2023</t>
  </si>
  <si>
    <t>CHUGDEN VASQUEZ MARCO ANTONIO</t>
  </si>
  <si>
    <t>I.E.I.NÂ°549- AGOMARCA ALTO-BAMBAMARCA</t>
  </si>
  <si>
    <t>FAUSTINO EDQUEN TANTALEAN</t>
  </si>
  <si>
    <t>26/10/2023</t>
  </si>
  <si>
    <t>FIORELA NUÃEZ BURGA</t>
  </si>
  <si>
    <t>I.E.I. NÂ°391 - BAMBAMARCA</t>
  </si>
  <si>
    <t>27/10/2023</t>
  </si>
  <si>
    <t xml:space="preserve">I.E. 82668 SAN JUAN DE LACAMA </t>
  </si>
  <si>
    <t>ESCUELA DE EDUCACIÃN SUPERIOR PEDAGÃGICA PÃBLICA NUESTRA SEÃORA DE CHOTA</t>
  </si>
  <si>
    <t>CARMEN FLOR CAMPOS ALVA</t>
  </si>
  <si>
    <t>28/10/2023</t>
  </si>
  <si>
    <t>ARACELI SALAZAR LUNA</t>
  </si>
  <si>
    <t>29/10/2023</t>
  </si>
  <si>
    <t>5Â° GRADO D</t>
  </si>
  <si>
    <t>30/10/2023</t>
  </si>
  <si>
    <t xml:space="preserve">JHON SANCHEZ </t>
  </si>
  <si>
    <t>31/10/2023</t>
  </si>
  <si>
    <t>I.E.NÂ° 492 TALLAMC</t>
  </si>
  <si>
    <t>I.E. SAN MARTÃN DE PORRES</t>
  </si>
  <si>
    <t>07</t>
  </si>
  <si>
    <t>0008113</t>
  </si>
  <si>
    <t>0008420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</si>
</sst>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40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"0008086"</f>
        <v>0008086</v>
      </c>
      <c r="G8">
        <v>1</v>
      </c>
      <c r="H8" t="str">
        <f>"00000001"</f>
        <v>00000001</v>
      </c>
      <c r="I8" t="s">
        <v>35</v>
      </c>
      <c r="J8"/>
      <c r="K8">
        <v>267.37</v>
      </c>
      <c r="L8">
        <v>0.0</v>
      </c>
      <c r="M8"/>
      <c r="N8"/>
      <c r="O8">
        <v>48.13</v>
      </c>
      <c r="P8">
        <v>0.0</v>
      </c>
      <c r="Q8">
        <v>315.5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"0008087"</f>
        <v>0008087</v>
      </c>
      <c r="G9">
        <v>1</v>
      </c>
      <c r="H9" t="str">
        <f>"00000001"</f>
        <v>00000001</v>
      </c>
      <c r="I9" t="s">
        <v>35</v>
      </c>
      <c r="J9"/>
      <c r="K9">
        <v>79.24</v>
      </c>
      <c r="L9">
        <v>0.0</v>
      </c>
      <c r="M9"/>
      <c r="N9"/>
      <c r="O9">
        <v>14.26</v>
      </c>
      <c r="P9">
        <v>0.0</v>
      </c>
      <c r="Q9">
        <v>93.5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"0008088"</f>
        <v>0008088</v>
      </c>
      <c r="G10">
        <v>1</v>
      </c>
      <c r="H10" t="str">
        <f>"00000001"</f>
        <v>00000001</v>
      </c>
      <c r="I10" t="s">
        <v>35</v>
      </c>
      <c r="J10"/>
      <c r="K10">
        <v>23.39</v>
      </c>
      <c r="L10">
        <v>0.0</v>
      </c>
      <c r="M10"/>
      <c r="N10"/>
      <c r="O10">
        <v>4.21</v>
      </c>
      <c r="P10">
        <v>0.0</v>
      </c>
      <c r="Q10">
        <v>27.6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"0008089"</f>
        <v>0008089</v>
      </c>
      <c r="G11">
        <v>1</v>
      </c>
      <c r="H11" t="str">
        <f>"00000001"</f>
        <v>00000001</v>
      </c>
      <c r="I11" t="s">
        <v>35</v>
      </c>
      <c r="J11"/>
      <c r="K11">
        <v>12.71</v>
      </c>
      <c r="L11">
        <v>0.0</v>
      </c>
      <c r="M11"/>
      <c r="N11"/>
      <c r="O11">
        <v>2.29</v>
      </c>
      <c r="P11">
        <v>0.0</v>
      </c>
      <c r="Q11">
        <v>15.0</v>
      </c>
      <c r="R11"/>
      <c r="S11"/>
      <c r="T11"/>
      <c r="U11"/>
      <c r="V11"/>
      <c r="W11">
        <v>18</v>
      </c>
    </row>
    <row r="12" spans="1:23">
      <c r="A12"/>
      <c r="B12" t="s">
        <v>36</v>
      </c>
      <c r="C12" t="s">
        <v>36</v>
      </c>
      <c r="D12" t="s">
        <v>37</v>
      </c>
      <c r="E12" t="s">
        <v>38</v>
      </c>
      <c r="F12" t="str">
        <f>"0000550"</f>
        <v>0000550</v>
      </c>
      <c r="G12">
        <v>6</v>
      </c>
      <c r="H12" t="str">
        <f>"20604310122"</f>
        <v>20604310122</v>
      </c>
      <c r="I12" t="s">
        <v>39</v>
      </c>
      <c r="J12"/>
      <c r="K12">
        <v>38.14</v>
      </c>
      <c r="L12">
        <v>0.0</v>
      </c>
      <c r="M12"/>
      <c r="N12"/>
      <c r="O12">
        <v>6.86</v>
      </c>
      <c r="P12">
        <v>0.0</v>
      </c>
      <c r="Q12">
        <v>45.0</v>
      </c>
      <c r="R12"/>
      <c r="S12"/>
      <c r="T12"/>
      <c r="U12"/>
      <c r="V12"/>
      <c r="W12">
        <v>18</v>
      </c>
    </row>
    <row r="13" spans="1:23">
      <c r="A13"/>
      <c r="B13" t="s">
        <v>36</v>
      </c>
      <c r="C13" t="s">
        <v>36</v>
      </c>
      <c r="D13" t="s">
        <v>33</v>
      </c>
      <c r="E13" t="s">
        <v>34</v>
      </c>
      <c r="F13" t="str">
        <f>"0008090"</f>
        <v>0008090</v>
      </c>
      <c r="G13">
        <v>1</v>
      </c>
      <c r="H13" t="str">
        <f>"000COMIT"</f>
        <v>000COMIT</v>
      </c>
      <c r="I13" t="s">
        <v>40</v>
      </c>
      <c r="J13"/>
      <c r="K13">
        <v>55.93</v>
      </c>
      <c r="L13">
        <v>0.0</v>
      </c>
      <c r="M13"/>
      <c r="N13"/>
      <c r="O13">
        <v>10.07</v>
      </c>
      <c r="P13">
        <v>0.0</v>
      </c>
      <c r="Q13">
        <v>66.0</v>
      </c>
      <c r="R13"/>
      <c r="S13"/>
      <c r="T13"/>
      <c r="U13"/>
      <c r="V13"/>
      <c r="W13">
        <v>18</v>
      </c>
    </row>
    <row r="14" spans="1:23">
      <c r="A14"/>
      <c r="B14" t="s">
        <v>36</v>
      </c>
      <c r="C14" t="s">
        <v>36</v>
      </c>
      <c r="D14" t="s">
        <v>33</v>
      </c>
      <c r="E14" t="s">
        <v>34</v>
      </c>
      <c r="F14" t="str">
        <f>"0008091"</f>
        <v>0008091</v>
      </c>
      <c r="G14">
        <v>1</v>
      </c>
      <c r="H14" t="str">
        <f>"000COMIT"</f>
        <v>000COMIT</v>
      </c>
      <c r="I14" t="s">
        <v>40</v>
      </c>
      <c r="J14"/>
      <c r="K14">
        <v>75.42</v>
      </c>
      <c r="L14">
        <v>0.0</v>
      </c>
      <c r="M14"/>
      <c r="N14"/>
      <c r="O14">
        <v>13.58</v>
      </c>
      <c r="P14">
        <v>0.0</v>
      </c>
      <c r="Q14">
        <v>89.0</v>
      </c>
      <c r="R14"/>
      <c r="S14"/>
      <c r="T14"/>
      <c r="U14"/>
      <c r="V14"/>
      <c r="W14">
        <v>18</v>
      </c>
    </row>
    <row r="15" spans="1:23">
      <c r="A15"/>
      <c r="B15" t="s">
        <v>36</v>
      </c>
      <c r="C15" t="s">
        <v>36</v>
      </c>
      <c r="D15" t="s">
        <v>33</v>
      </c>
      <c r="E15" t="s">
        <v>34</v>
      </c>
      <c r="F15" t="str">
        <f>"0008092"</f>
        <v>0008092</v>
      </c>
      <c r="G15">
        <v>6</v>
      </c>
      <c r="H15" t="str">
        <f>"20602050506"</f>
        <v>20602050506</v>
      </c>
      <c r="I15" t="s">
        <v>41</v>
      </c>
      <c r="J15"/>
      <c r="K15">
        <v>99.15</v>
      </c>
      <c r="L15">
        <v>0.0</v>
      </c>
      <c r="M15"/>
      <c r="N15"/>
      <c r="O15">
        <v>17.85</v>
      </c>
      <c r="P15">
        <v>0.0</v>
      </c>
      <c r="Q15">
        <v>117.0</v>
      </c>
      <c r="R15"/>
      <c r="S15"/>
      <c r="T15"/>
      <c r="U15"/>
      <c r="V15"/>
      <c r="W15">
        <v>18</v>
      </c>
    </row>
    <row r="16" spans="1:23">
      <c r="A16"/>
      <c r="B16" t="s">
        <v>36</v>
      </c>
      <c r="C16" t="s">
        <v>36</v>
      </c>
      <c r="D16" t="s">
        <v>33</v>
      </c>
      <c r="E16" t="s">
        <v>34</v>
      </c>
      <c r="F16" t="str">
        <f>"0008093"</f>
        <v>0008093</v>
      </c>
      <c r="G16">
        <v>6</v>
      </c>
      <c r="H16" t="str">
        <f>"20536893700"</f>
        <v>20536893700</v>
      </c>
      <c r="I16" t="s">
        <v>42</v>
      </c>
      <c r="J16"/>
      <c r="K16">
        <v>13.56</v>
      </c>
      <c r="L16">
        <v>0.0</v>
      </c>
      <c r="M16"/>
      <c r="N16"/>
      <c r="O16">
        <v>2.44</v>
      </c>
      <c r="P16">
        <v>0.0</v>
      </c>
      <c r="Q16">
        <v>16.0</v>
      </c>
      <c r="R16"/>
      <c r="S16"/>
      <c r="T16"/>
      <c r="U16"/>
      <c r="V16"/>
      <c r="W16">
        <v>18</v>
      </c>
    </row>
    <row r="17" spans="1:23">
      <c r="A17"/>
      <c r="B17" t="s">
        <v>36</v>
      </c>
      <c r="C17" t="s">
        <v>36</v>
      </c>
      <c r="D17" t="s">
        <v>37</v>
      </c>
      <c r="E17" t="s">
        <v>38</v>
      </c>
      <c r="F17" t="str">
        <f>"0000551"</f>
        <v>0000551</v>
      </c>
      <c r="G17">
        <v>6</v>
      </c>
      <c r="H17" t="str">
        <f>"20536893700"</f>
        <v>20536893700</v>
      </c>
      <c r="I17" t="s">
        <v>42</v>
      </c>
      <c r="J17"/>
      <c r="K17">
        <v>13.56</v>
      </c>
      <c r="L17">
        <v>0.0</v>
      </c>
      <c r="M17"/>
      <c r="N17"/>
      <c r="O17">
        <v>2.44</v>
      </c>
      <c r="P17">
        <v>0.0</v>
      </c>
      <c r="Q17">
        <v>16.0</v>
      </c>
      <c r="R17"/>
      <c r="S17"/>
      <c r="T17"/>
      <c r="U17"/>
      <c r="V17"/>
      <c r="W17">
        <v>18</v>
      </c>
    </row>
    <row r="18" spans="1:23">
      <c r="A18"/>
      <c r="B18" t="s">
        <v>36</v>
      </c>
      <c r="C18" t="s">
        <v>36</v>
      </c>
      <c r="D18" t="s">
        <v>33</v>
      </c>
      <c r="E18" t="s">
        <v>34</v>
      </c>
      <c r="F18" t="str">
        <f>"0008094"</f>
        <v>0008094</v>
      </c>
      <c r="G18">
        <v>1</v>
      </c>
      <c r="H18" t="str">
        <f>"00000001"</f>
        <v>00000001</v>
      </c>
      <c r="I18" t="s">
        <v>35</v>
      </c>
      <c r="J18"/>
      <c r="K18">
        <v>67.8</v>
      </c>
      <c r="L18">
        <v>0.0</v>
      </c>
      <c r="M18"/>
      <c r="N18"/>
      <c r="O18">
        <v>12.2</v>
      </c>
      <c r="P18">
        <v>0.0</v>
      </c>
      <c r="Q18">
        <v>80.0</v>
      </c>
      <c r="R18"/>
      <c r="S18"/>
      <c r="T18"/>
      <c r="U18"/>
      <c r="V18"/>
      <c r="W18">
        <v>18</v>
      </c>
    </row>
    <row r="19" spans="1:23">
      <c r="A19"/>
      <c r="B19" t="s">
        <v>36</v>
      </c>
      <c r="C19" t="s">
        <v>36</v>
      </c>
      <c r="D19" t="s">
        <v>33</v>
      </c>
      <c r="E19" t="s">
        <v>34</v>
      </c>
      <c r="F19" t="str">
        <f>"0008095"</f>
        <v>0008095</v>
      </c>
      <c r="G19">
        <v>1</v>
      </c>
      <c r="H19" t="str">
        <f>"00000001"</f>
        <v>00000001</v>
      </c>
      <c r="I19" t="s">
        <v>35</v>
      </c>
      <c r="J19"/>
      <c r="K19">
        <v>10.17</v>
      </c>
      <c r="L19">
        <v>0.0</v>
      </c>
      <c r="M19"/>
      <c r="N19"/>
      <c r="O19">
        <v>1.83</v>
      </c>
      <c r="P19">
        <v>0.0</v>
      </c>
      <c r="Q19">
        <v>12.0</v>
      </c>
      <c r="R19"/>
      <c r="S19"/>
      <c r="T19"/>
      <c r="U19"/>
      <c r="V19"/>
      <c r="W19">
        <v>18</v>
      </c>
    </row>
    <row r="20" spans="1:23">
      <c r="A20"/>
      <c r="B20" t="s">
        <v>43</v>
      </c>
      <c r="C20" t="s">
        <v>43</v>
      </c>
      <c r="D20" t="s">
        <v>33</v>
      </c>
      <c r="E20" t="s">
        <v>34</v>
      </c>
      <c r="F20" t="str">
        <f>"0008096"</f>
        <v>0008096</v>
      </c>
      <c r="G20">
        <v>6</v>
      </c>
      <c r="H20" t="str">
        <f>"20326108627"</f>
        <v>20326108627</v>
      </c>
      <c r="I20" t="s">
        <v>44</v>
      </c>
      <c r="J20"/>
      <c r="K20">
        <v>61.86</v>
      </c>
      <c r="L20">
        <v>0.0</v>
      </c>
      <c r="M20"/>
      <c r="N20"/>
      <c r="O20">
        <v>11.14</v>
      </c>
      <c r="P20">
        <v>0.0</v>
      </c>
      <c r="Q20">
        <v>73.0</v>
      </c>
      <c r="R20"/>
      <c r="S20"/>
      <c r="T20"/>
      <c r="U20"/>
      <c r="V20"/>
      <c r="W20">
        <v>18</v>
      </c>
    </row>
    <row r="21" spans="1:23">
      <c r="A21"/>
      <c r="B21" t="s">
        <v>43</v>
      </c>
      <c r="C21" t="s">
        <v>43</v>
      </c>
      <c r="D21" t="s">
        <v>33</v>
      </c>
      <c r="E21" t="s">
        <v>34</v>
      </c>
      <c r="F21" t="str">
        <f>"0008097"</f>
        <v>0008097</v>
      </c>
      <c r="G21">
        <v>6</v>
      </c>
      <c r="H21" t="str">
        <f>"20326108627"</f>
        <v>20326108627</v>
      </c>
      <c r="I21" t="s">
        <v>44</v>
      </c>
      <c r="J21"/>
      <c r="K21">
        <v>30.51</v>
      </c>
      <c r="L21">
        <v>0.0</v>
      </c>
      <c r="M21"/>
      <c r="N21"/>
      <c r="O21">
        <v>5.49</v>
      </c>
      <c r="P21">
        <v>0.0</v>
      </c>
      <c r="Q21">
        <v>36.0</v>
      </c>
      <c r="R21"/>
      <c r="S21"/>
      <c r="T21"/>
      <c r="U21"/>
      <c r="V21"/>
      <c r="W21">
        <v>18</v>
      </c>
    </row>
    <row r="22" spans="1:23">
      <c r="A22"/>
      <c r="B22" t="s">
        <v>43</v>
      </c>
      <c r="C22" t="s">
        <v>43</v>
      </c>
      <c r="D22" t="s">
        <v>33</v>
      </c>
      <c r="E22" t="s">
        <v>34</v>
      </c>
      <c r="F22" t="str">
        <f>"0008098"</f>
        <v>0008098</v>
      </c>
      <c r="G22">
        <v>1</v>
      </c>
      <c r="H22" t="str">
        <f>"70658712"</f>
        <v>70658712</v>
      </c>
      <c r="I22" t="s">
        <v>45</v>
      </c>
      <c r="J22"/>
      <c r="K22">
        <v>17.37</v>
      </c>
      <c r="L22">
        <v>0.0</v>
      </c>
      <c r="M22"/>
      <c r="N22"/>
      <c r="O22">
        <v>3.13</v>
      </c>
      <c r="P22">
        <v>0.0</v>
      </c>
      <c r="Q22">
        <v>20.5</v>
      </c>
      <c r="R22"/>
      <c r="S22"/>
      <c r="T22"/>
      <c r="U22"/>
      <c r="V22"/>
      <c r="W22">
        <v>18</v>
      </c>
    </row>
    <row r="23" spans="1:23">
      <c r="A23"/>
      <c r="B23" t="s">
        <v>43</v>
      </c>
      <c r="C23" t="s">
        <v>43</v>
      </c>
      <c r="D23" t="s">
        <v>33</v>
      </c>
      <c r="E23" t="s">
        <v>34</v>
      </c>
      <c r="F23" t="str">
        <f>"0008099"</f>
        <v>0008099</v>
      </c>
      <c r="G23">
        <v>1</v>
      </c>
      <c r="H23" t="str">
        <f>"70658712"</f>
        <v>70658712</v>
      </c>
      <c r="I23" t="s">
        <v>45</v>
      </c>
      <c r="J23"/>
      <c r="K23">
        <v>49.58</v>
      </c>
      <c r="L23">
        <v>0.0</v>
      </c>
      <c r="M23"/>
      <c r="N23"/>
      <c r="O23">
        <v>8.92</v>
      </c>
      <c r="P23">
        <v>0.0</v>
      </c>
      <c r="Q23">
        <v>58.5</v>
      </c>
      <c r="R23"/>
      <c r="S23"/>
      <c r="T23"/>
      <c r="U23"/>
      <c r="V23"/>
      <c r="W23">
        <v>18</v>
      </c>
    </row>
    <row r="24" spans="1:23">
      <c r="A24"/>
      <c r="B24" t="s">
        <v>43</v>
      </c>
      <c r="C24" t="s">
        <v>43</v>
      </c>
      <c r="D24" t="s">
        <v>33</v>
      </c>
      <c r="E24" t="s">
        <v>34</v>
      </c>
      <c r="F24" t="str">
        <f>"0008100"</f>
        <v>0008100</v>
      </c>
      <c r="G24">
        <v>1</v>
      </c>
      <c r="H24" t="str">
        <f>"000000SC"</f>
        <v>000000SC</v>
      </c>
      <c r="I24" t="s">
        <v>46</v>
      </c>
      <c r="J24"/>
      <c r="K24">
        <v>32.2</v>
      </c>
      <c r="L24">
        <v>0.0</v>
      </c>
      <c r="M24"/>
      <c r="N24"/>
      <c r="O24">
        <v>5.8</v>
      </c>
      <c r="P24">
        <v>0.0</v>
      </c>
      <c r="Q24">
        <v>38.0</v>
      </c>
      <c r="R24"/>
      <c r="S24"/>
      <c r="T24"/>
      <c r="U24"/>
      <c r="V24"/>
      <c r="W24">
        <v>18</v>
      </c>
    </row>
    <row r="25" spans="1:23">
      <c r="A25"/>
      <c r="B25" t="s">
        <v>43</v>
      </c>
      <c r="C25" t="s">
        <v>43</v>
      </c>
      <c r="D25" t="s">
        <v>33</v>
      </c>
      <c r="E25" t="s">
        <v>34</v>
      </c>
      <c r="F25" t="str">
        <f>"0008101"</f>
        <v>0008101</v>
      </c>
      <c r="G25">
        <v>6</v>
      </c>
      <c r="H25" t="str">
        <f>"20146796347"</f>
        <v>20146796347</v>
      </c>
      <c r="I25" t="s">
        <v>47</v>
      </c>
      <c r="J25"/>
      <c r="K25">
        <v>38.98</v>
      </c>
      <c r="L25">
        <v>0.0</v>
      </c>
      <c r="M25"/>
      <c r="N25"/>
      <c r="O25">
        <v>7.02</v>
      </c>
      <c r="P25">
        <v>0.0</v>
      </c>
      <c r="Q25">
        <v>46.0</v>
      </c>
      <c r="R25"/>
      <c r="S25"/>
      <c r="T25"/>
      <c r="U25"/>
      <c r="V25"/>
      <c r="W25">
        <v>18</v>
      </c>
    </row>
    <row r="26" spans="1:23">
      <c r="A26"/>
      <c r="B26" t="s">
        <v>43</v>
      </c>
      <c r="C26" t="s">
        <v>43</v>
      </c>
      <c r="D26" t="s">
        <v>37</v>
      </c>
      <c r="E26" t="s">
        <v>38</v>
      </c>
      <c r="F26" t="str">
        <f>"0000552"</f>
        <v>0000552</v>
      </c>
      <c r="G26">
        <v>6</v>
      </c>
      <c r="H26" t="str">
        <f>"20453757146"</f>
        <v>20453757146</v>
      </c>
      <c r="I26" t="s">
        <v>48</v>
      </c>
      <c r="J26"/>
      <c r="K26">
        <v>152.54</v>
      </c>
      <c r="L26">
        <v>0.0</v>
      </c>
      <c r="M26"/>
      <c r="N26"/>
      <c r="O26">
        <v>27.46</v>
      </c>
      <c r="P26">
        <v>0.0</v>
      </c>
      <c r="Q26">
        <v>180.0</v>
      </c>
      <c r="R26"/>
      <c r="S26"/>
      <c r="T26"/>
      <c r="U26"/>
      <c r="V26"/>
      <c r="W26">
        <v>18</v>
      </c>
    </row>
    <row r="27" spans="1:23">
      <c r="A27"/>
      <c r="B27" t="s">
        <v>43</v>
      </c>
      <c r="C27" t="s">
        <v>43</v>
      </c>
      <c r="D27" t="s">
        <v>33</v>
      </c>
      <c r="E27" t="s">
        <v>34</v>
      </c>
      <c r="F27" t="str">
        <f>"0008102"</f>
        <v>0008102</v>
      </c>
      <c r="G27">
        <v>1</v>
      </c>
      <c r="H27" t="str">
        <f>"18141981"</f>
        <v>18141981</v>
      </c>
      <c r="I27" t="s">
        <v>49</v>
      </c>
      <c r="J27"/>
      <c r="K27">
        <v>10.17</v>
      </c>
      <c r="L27">
        <v>0.0</v>
      </c>
      <c r="M27"/>
      <c r="N27"/>
      <c r="O27">
        <v>1.83</v>
      </c>
      <c r="P27">
        <v>0.0</v>
      </c>
      <c r="Q27">
        <v>12.0</v>
      </c>
      <c r="R27"/>
      <c r="S27"/>
      <c r="T27"/>
      <c r="U27"/>
      <c r="V27"/>
      <c r="W27">
        <v>18</v>
      </c>
    </row>
    <row r="28" spans="1:23">
      <c r="A28"/>
      <c r="B28" t="s">
        <v>43</v>
      </c>
      <c r="C28" t="s">
        <v>43</v>
      </c>
      <c r="D28" t="s">
        <v>33</v>
      </c>
      <c r="E28" t="s">
        <v>34</v>
      </c>
      <c r="F28" t="str">
        <f>"0008103"</f>
        <v>0008103</v>
      </c>
      <c r="G28">
        <v>1</v>
      </c>
      <c r="H28" t="str">
        <f>"40429000"</f>
        <v>40429000</v>
      </c>
      <c r="I28" t="s">
        <v>50</v>
      </c>
      <c r="J28"/>
      <c r="K28">
        <v>29.83</v>
      </c>
      <c r="L28">
        <v>0.0</v>
      </c>
      <c r="M28"/>
      <c r="N28"/>
      <c r="O28">
        <v>5.37</v>
      </c>
      <c r="P28">
        <v>0.0</v>
      </c>
      <c r="Q28">
        <v>35.2</v>
      </c>
      <c r="R28"/>
      <c r="S28"/>
      <c r="T28"/>
      <c r="U28"/>
      <c r="V28"/>
      <c r="W28">
        <v>18</v>
      </c>
    </row>
    <row r="29" spans="1:23">
      <c r="A29"/>
      <c r="B29" t="s">
        <v>43</v>
      </c>
      <c r="C29" t="s">
        <v>43</v>
      </c>
      <c r="D29" t="s">
        <v>37</v>
      </c>
      <c r="E29" t="s">
        <v>38</v>
      </c>
      <c r="F29" t="str">
        <f>"0000553"</f>
        <v>0000553</v>
      </c>
      <c r="G29">
        <v>6</v>
      </c>
      <c r="H29" t="str">
        <f>"20610380591"</f>
        <v>20610380591</v>
      </c>
      <c r="I29" t="s">
        <v>51</v>
      </c>
      <c r="J29"/>
      <c r="K29">
        <v>128.81</v>
      </c>
      <c r="L29">
        <v>0.0</v>
      </c>
      <c r="M29"/>
      <c r="N29"/>
      <c r="O29">
        <v>23.19</v>
      </c>
      <c r="P29">
        <v>0.0</v>
      </c>
      <c r="Q29">
        <v>152.0</v>
      </c>
      <c r="R29"/>
      <c r="S29"/>
      <c r="T29"/>
      <c r="U29"/>
      <c r="V29"/>
      <c r="W29">
        <v>18</v>
      </c>
    </row>
    <row r="30" spans="1:23">
      <c r="A30"/>
      <c r="B30" t="s">
        <v>43</v>
      </c>
      <c r="C30" t="s">
        <v>43</v>
      </c>
      <c r="D30" t="s">
        <v>37</v>
      </c>
      <c r="E30" t="s">
        <v>38</v>
      </c>
      <c r="F30" t="str">
        <f>"0000554"</f>
        <v>0000554</v>
      </c>
      <c r="G30">
        <v>6</v>
      </c>
      <c r="H30" t="str">
        <f>"20147739835"</f>
        <v>20147739835</v>
      </c>
      <c r="I30" t="s">
        <v>52</v>
      </c>
      <c r="J30"/>
      <c r="K30">
        <v>39.83</v>
      </c>
      <c r="L30">
        <v>0.0</v>
      </c>
      <c r="M30"/>
      <c r="N30"/>
      <c r="O30">
        <v>7.17</v>
      </c>
      <c r="P30">
        <v>0.0</v>
      </c>
      <c r="Q30">
        <v>47.0</v>
      </c>
      <c r="R30"/>
      <c r="S30"/>
      <c r="T30"/>
      <c r="U30"/>
      <c r="V30"/>
      <c r="W30">
        <v>18</v>
      </c>
    </row>
    <row r="31" spans="1:23">
      <c r="A31"/>
      <c r="B31" t="s">
        <v>53</v>
      </c>
      <c r="C31" t="s">
        <v>53</v>
      </c>
      <c r="D31" t="s">
        <v>33</v>
      </c>
      <c r="E31" t="s">
        <v>34</v>
      </c>
      <c r="F31" t="str">
        <f>"0008104"</f>
        <v>0008104</v>
      </c>
      <c r="G31">
        <v>1</v>
      </c>
      <c r="H31" t="str">
        <f>"00082661"</f>
        <v>00082661</v>
      </c>
      <c r="I31" t="s">
        <v>54</v>
      </c>
      <c r="J31"/>
      <c r="K31">
        <v>305.08</v>
      </c>
      <c r="L31">
        <v>0.0</v>
      </c>
      <c r="M31"/>
      <c r="N31"/>
      <c r="O31">
        <v>54.92</v>
      </c>
      <c r="P31">
        <v>0.0</v>
      </c>
      <c r="Q31">
        <v>360.0</v>
      </c>
      <c r="R31"/>
      <c r="S31"/>
      <c r="T31"/>
      <c r="U31"/>
      <c r="V31"/>
      <c r="W31">
        <v>18</v>
      </c>
    </row>
    <row r="32" spans="1:23">
      <c r="A32"/>
      <c r="B32" t="s">
        <v>53</v>
      </c>
      <c r="C32" t="s">
        <v>53</v>
      </c>
      <c r="D32" t="s">
        <v>33</v>
      </c>
      <c r="E32" t="s">
        <v>34</v>
      </c>
      <c r="F32" t="str">
        <f>"0008105"</f>
        <v>0008105</v>
      </c>
      <c r="G32">
        <v>6</v>
      </c>
      <c r="H32" t="str">
        <f>"20231560247"</f>
        <v>20231560247</v>
      </c>
      <c r="I32" t="s">
        <v>55</v>
      </c>
      <c r="J32"/>
      <c r="K32">
        <v>56.78</v>
      </c>
      <c r="L32">
        <v>0.0</v>
      </c>
      <c r="M32"/>
      <c r="N32"/>
      <c r="O32">
        <v>10.22</v>
      </c>
      <c r="P32">
        <v>0.0</v>
      </c>
      <c r="Q32">
        <v>67.0</v>
      </c>
      <c r="R32"/>
      <c r="S32"/>
      <c r="T32"/>
      <c r="U32"/>
      <c r="V32"/>
      <c r="W32">
        <v>18</v>
      </c>
    </row>
    <row r="33" spans="1:23">
      <c r="A33"/>
      <c r="B33" t="s">
        <v>53</v>
      </c>
      <c r="C33" t="s">
        <v>53</v>
      </c>
      <c r="D33" t="s">
        <v>37</v>
      </c>
      <c r="E33" t="s">
        <v>38</v>
      </c>
      <c r="F33" t="str">
        <f>"0000555"</f>
        <v>0000555</v>
      </c>
      <c r="G33">
        <v>6</v>
      </c>
      <c r="H33" t="str">
        <f>"20529681438"</f>
        <v>20529681438</v>
      </c>
      <c r="I33" t="s">
        <v>56</v>
      </c>
      <c r="J33"/>
      <c r="K33">
        <v>27.12</v>
      </c>
      <c r="L33">
        <v>0.0</v>
      </c>
      <c r="M33"/>
      <c r="N33"/>
      <c r="O33">
        <v>4.88</v>
      </c>
      <c r="P33">
        <v>0.0</v>
      </c>
      <c r="Q33">
        <v>32.0</v>
      </c>
      <c r="R33"/>
      <c r="S33"/>
      <c r="T33"/>
      <c r="U33"/>
      <c r="V33"/>
      <c r="W33">
        <v>18</v>
      </c>
    </row>
    <row r="34" spans="1:23">
      <c r="A34"/>
      <c r="B34" t="s">
        <v>53</v>
      </c>
      <c r="C34" t="s">
        <v>53</v>
      </c>
      <c r="D34" t="s">
        <v>33</v>
      </c>
      <c r="E34" t="s">
        <v>34</v>
      </c>
      <c r="F34" t="str">
        <f>"0008106"</f>
        <v>0008106</v>
      </c>
      <c r="G34">
        <v>1</v>
      </c>
      <c r="H34" t="str">
        <f>"00082661"</f>
        <v>00082661</v>
      </c>
      <c r="I34" t="s">
        <v>54</v>
      </c>
      <c r="J34"/>
      <c r="K34">
        <v>9.32</v>
      </c>
      <c r="L34">
        <v>0.0</v>
      </c>
      <c r="M34"/>
      <c r="N34"/>
      <c r="O34">
        <v>1.68</v>
      </c>
      <c r="P34">
        <v>0.0</v>
      </c>
      <c r="Q34">
        <v>11.0</v>
      </c>
      <c r="R34"/>
      <c r="S34"/>
      <c r="T34"/>
      <c r="U34"/>
      <c r="V34"/>
      <c r="W34">
        <v>18</v>
      </c>
    </row>
    <row r="35" spans="1:23">
      <c r="A35"/>
      <c r="B35" t="s">
        <v>53</v>
      </c>
      <c r="C35" t="s">
        <v>53</v>
      </c>
      <c r="D35" t="s">
        <v>37</v>
      </c>
      <c r="E35" t="s">
        <v>38</v>
      </c>
      <c r="F35" t="str">
        <f>"0000556"</f>
        <v>0000556</v>
      </c>
      <c r="G35">
        <v>6</v>
      </c>
      <c r="H35" t="str">
        <f>"20611200006"</f>
        <v>20611200006</v>
      </c>
      <c r="I35" t="s">
        <v>57</v>
      </c>
      <c r="J35"/>
      <c r="K35">
        <v>15.25</v>
      </c>
      <c r="L35">
        <v>0.0</v>
      </c>
      <c r="M35"/>
      <c r="N35"/>
      <c r="O35">
        <v>2.75</v>
      </c>
      <c r="P35">
        <v>0.0</v>
      </c>
      <c r="Q35">
        <v>18.0</v>
      </c>
      <c r="R35"/>
      <c r="S35"/>
      <c r="T35"/>
      <c r="U35"/>
      <c r="V35"/>
      <c r="W35">
        <v>18</v>
      </c>
    </row>
    <row r="36" spans="1:23">
      <c r="A36"/>
      <c r="B36" t="s">
        <v>53</v>
      </c>
      <c r="C36" t="s">
        <v>53</v>
      </c>
      <c r="D36" t="s">
        <v>33</v>
      </c>
      <c r="E36" t="s">
        <v>34</v>
      </c>
      <c r="F36" t="str">
        <f>"0008107"</f>
        <v>0008107</v>
      </c>
      <c r="G36">
        <v>1</v>
      </c>
      <c r="H36" t="str">
        <f>"0000CSVC"</f>
        <v>0000CSVC</v>
      </c>
      <c r="I36" t="s">
        <v>58</v>
      </c>
      <c r="J36"/>
      <c r="K36">
        <v>8.47</v>
      </c>
      <c r="L36">
        <v>0.0</v>
      </c>
      <c r="M36"/>
      <c r="N36"/>
      <c r="O36">
        <v>1.53</v>
      </c>
      <c r="P36">
        <v>0.0</v>
      </c>
      <c r="Q36">
        <v>10.0</v>
      </c>
      <c r="R36"/>
      <c r="S36"/>
      <c r="T36"/>
      <c r="U36"/>
      <c r="V36"/>
      <c r="W36">
        <v>18</v>
      </c>
    </row>
    <row r="37" spans="1:23">
      <c r="A37"/>
      <c r="B37" t="s">
        <v>53</v>
      </c>
      <c r="C37" t="s">
        <v>53</v>
      </c>
      <c r="D37" t="s">
        <v>33</v>
      </c>
      <c r="E37" t="s">
        <v>34</v>
      </c>
      <c r="F37" t="str">
        <f>"0008108"</f>
        <v>0008108</v>
      </c>
      <c r="G37">
        <v>1</v>
      </c>
      <c r="H37" t="str">
        <f>"000000SF"</f>
        <v>000000SF</v>
      </c>
      <c r="I37" t="s">
        <v>59</v>
      </c>
      <c r="J37"/>
      <c r="K37">
        <v>43.22</v>
      </c>
      <c r="L37">
        <v>0.0</v>
      </c>
      <c r="M37"/>
      <c r="N37"/>
      <c r="O37">
        <v>7.78</v>
      </c>
      <c r="P37">
        <v>0.0</v>
      </c>
      <c r="Q37">
        <v>51.0</v>
      </c>
      <c r="R37"/>
      <c r="S37"/>
      <c r="T37"/>
      <c r="U37"/>
      <c r="V37"/>
      <c r="W37">
        <v>18</v>
      </c>
    </row>
    <row r="38" spans="1:23">
      <c r="A38"/>
      <c r="B38" t="s">
        <v>60</v>
      </c>
      <c r="C38" t="s">
        <v>60</v>
      </c>
      <c r="D38" t="s">
        <v>33</v>
      </c>
      <c r="E38" t="s">
        <v>34</v>
      </c>
      <c r="F38" t="str">
        <f>"0008109"</f>
        <v>0008109</v>
      </c>
      <c r="G38">
        <v>1</v>
      </c>
      <c r="H38" t="str">
        <f>"27553392"</f>
        <v>27553392</v>
      </c>
      <c r="I38" t="s">
        <v>61</v>
      </c>
      <c r="J38"/>
      <c r="K38">
        <v>16.1</v>
      </c>
      <c r="L38">
        <v>0.0</v>
      </c>
      <c r="M38"/>
      <c r="N38"/>
      <c r="O38">
        <v>2.9</v>
      </c>
      <c r="P38">
        <v>0.0</v>
      </c>
      <c r="Q38">
        <v>19.0</v>
      </c>
      <c r="R38"/>
      <c r="S38"/>
      <c r="T38"/>
      <c r="U38"/>
      <c r="V38"/>
      <c r="W38">
        <v>18</v>
      </c>
    </row>
    <row r="39" spans="1:23">
      <c r="A39"/>
      <c r="B39" t="s">
        <v>60</v>
      </c>
      <c r="C39" t="s">
        <v>60</v>
      </c>
      <c r="D39" t="s">
        <v>33</v>
      </c>
      <c r="E39" t="s">
        <v>34</v>
      </c>
      <c r="F39" t="str">
        <f>"0008110"</f>
        <v>0008110</v>
      </c>
      <c r="G39">
        <v>1</v>
      </c>
      <c r="H39" t="str">
        <f>"0000CSVC"</f>
        <v>0000CSVC</v>
      </c>
      <c r="I39" t="s">
        <v>58</v>
      </c>
      <c r="J39"/>
      <c r="K39">
        <v>5.93</v>
      </c>
      <c r="L39">
        <v>0.0</v>
      </c>
      <c r="M39"/>
      <c r="N39"/>
      <c r="O39">
        <v>1.07</v>
      </c>
      <c r="P39">
        <v>0.0</v>
      </c>
      <c r="Q39">
        <v>7.0</v>
      </c>
      <c r="R39"/>
      <c r="S39"/>
      <c r="T39"/>
      <c r="U39"/>
      <c r="V39"/>
      <c r="W39">
        <v>18</v>
      </c>
    </row>
    <row r="40" spans="1:23">
      <c r="A40"/>
      <c r="B40" t="s">
        <v>60</v>
      </c>
      <c r="C40" t="s">
        <v>60</v>
      </c>
      <c r="D40" t="s">
        <v>33</v>
      </c>
      <c r="E40" t="s">
        <v>34</v>
      </c>
      <c r="F40" t="str">
        <f>"0008111"</f>
        <v>0008111</v>
      </c>
      <c r="G40">
        <v>6</v>
      </c>
      <c r="H40" t="str">
        <f>"20326108627"</f>
        <v>20326108627</v>
      </c>
      <c r="I40" t="s">
        <v>44</v>
      </c>
      <c r="J40"/>
      <c r="K40">
        <v>95.34</v>
      </c>
      <c r="L40">
        <v>0.0</v>
      </c>
      <c r="M40"/>
      <c r="N40"/>
      <c r="O40">
        <v>17.16</v>
      </c>
      <c r="P40">
        <v>0.0</v>
      </c>
      <c r="Q40">
        <v>112.5</v>
      </c>
      <c r="R40"/>
      <c r="S40"/>
      <c r="T40"/>
      <c r="U40"/>
      <c r="V40"/>
      <c r="W40">
        <v>18</v>
      </c>
    </row>
    <row r="41" spans="1:23">
      <c r="A41"/>
      <c r="B41" t="s">
        <v>60</v>
      </c>
      <c r="C41" t="s">
        <v>60</v>
      </c>
      <c r="D41" t="s">
        <v>33</v>
      </c>
      <c r="E41" t="s">
        <v>34</v>
      </c>
      <c r="F41" t="str">
        <f>"0008112"</f>
        <v>0008112</v>
      </c>
      <c r="G41">
        <v>6</v>
      </c>
      <c r="H41" t="str">
        <f>"20148260843"</f>
        <v>20148260843</v>
      </c>
      <c r="I41" t="s">
        <v>62</v>
      </c>
      <c r="J41"/>
      <c r="K41">
        <v>13.56</v>
      </c>
      <c r="L41">
        <v>0.0</v>
      </c>
      <c r="M41"/>
      <c r="N41"/>
      <c r="O41">
        <v>2.44</v>
      </c>
      <c r="P41">
        <v>0.0</v>
      </c>
      <c r="Q41">
        <v>16.0</v>
      </c>
      <c r="R41"/>
      <c r="S41"/>
      <c r="T41"/>
      <c r="U41"/>
      <c r="V41"/>
      <c r="W41">
        <v>18</v>
      </c>
    </row>
    <row r="42" spans="1:23">
      <c r="A42"/>
      <c r="B42" t="s">
        <v>60</v>
      </c>
      <c r="C42" t="s">
        <v>60</v>
      </c>
      <c r="D42" t="s">
        <v>33</v>
      </c>
      <c r="E42" t="s">
        <v>34</v>
      </c>
      <c r="F42" t="str">
        <f>"0008113"</f>
        <v>0008113</v>
      </c>
      <c r="G42">
        <v>6</v>
      </c>
      <c r="H42" t="str">
        <f>"20610600787"</f>
        <v>20610600787</v>
      </c>
      <c r="I42" t="s">
        <v>63</v>
      </c>
      <c r="J42"/>
      <c r="K42">
        <v>76.27</v>
      </c>
      <c r="L42">
        <v>0.0</v>
      </c>
      <c r="M42"/>
      <c r="N42"/>
      <c r="O42">
        <v>13.73</v>
      </c>
      <c r="P42">
        <v>0.0</v>
      </c>
      <c r="Q42">
        <v>90.0</v>
      </c>
      <c r="R42"/>
      <c r="S42"/>
      <c r="T42"/>
      <c r="U42"/>
      <c r="V42"/>
      <c r="W42">
        <v>18</v>
      </c>
    </row>
    <row r="43" spans="1:23">
      <c r="A43"/>
      <c r="B43" t="s">
        <v>60</v>
      </c>
      <c r="C43" t="s">
        <v>60</v>
      </c>
      <c r="D43" t="s">
        <v>33</v>
      </c>
      <c r="E43" t="s">
        <v>34</v>
      </c>
      <c r="F43" t="str">
        <f>"0008114"</f>
        <v>0008114</v>
      </c>
      <c r="G43">
        <v>6</v>
      </c>
      <c r="H43" t="str">
        <f>"20610600787"</f>
        <v>20610600787</v>
      </c>
      <c r="I43" t="s">
        <v>63</v>
      </c>
      <c r="J43"/>
      <c r="K43">
        <v>93.22</v>
      </c>
      <c r="L43">
        <v>0.0</v>
      </c>
      <c r="M43"/>
      <c r="N43"/>
      <c r="O43">
        <v>16.78</v>
      </c>
      <c r="P43">
        <v>0.0</v>
      </c>
      <c r="Q43">
        <v>110.0</v>
      </c>
      <c r="R43"/>
      <c r="S43"/>
      <c r="T43"/>
      <c r="U43"/>
      <c r="V43"/>
      <c r="W43">
        <v>18</v>
      </c>
    </row>
    <row r="44" spans="1:23">
      <c r="A44"/>
      <c r="B44" t="s">
        <v>64</v>
      </c>
      <c r="C44" t="s">
        <v>64</v>
      </c>
      <c r="D44" t="s">
        <v>37</v>
      </c>
      <c r="E44" t="s">
        <v>38</v>
      </c>
      <c r="F44" t="str">
        <f>"0000557"</f>
        <v>0000557</v>
      </c>
      <c r="G44">
        <v>6</v>
      </c>
      <c r="H44" t="str">
        <f>"20212387755"</f>
        <v>20212387755</v>
      </c>
      <c r="I44" t="s">
        <v>65</v>
      </c>
      <c r="J44"/>
      <c r="K44">
        <v>152.54</v>
      </c>
      <c r="L44">
        <v>0.0</v>
      </c>
      <c r="M44"/>
      <c r="N44"/>
      <c r="O44">
        <v>27.46</v>
      </c>
      <c r="P44">
        <v>0.0</v>
      </c>
      <c r="Q44">
        <v>180.0</v>
      </c>
      <c r="R44"/>
      <c r="S44"/>
      <c r="T44"/>
      <c r="U44"/>
      <c r="V44"/>
      <c r="W44">
        <v>18</v>
      </c>
    </row>
    <row r="45" spans="1:23">
      <c r="A45"/>
      <c r="B45" t="s">
        <v>64</v>
      </c>
      <c r="C45" t="s">
        <v>64</v>
      </c>
      <c r="D45" t="s">
        <v>33</v>
      </c>
      <c r="E45" t="s">
        <v>34</v>
      </c>
      <c r="F45" t="str">
        <f>"0008115"</f>
        <v>0008115</v>
      </c>
      <c r="G45">
        <v>6</v>
      </c>
      <c r="H45" t="str">
        <f>"20602050506"</f>
        <v>20602050506</v>
      </c>
      <c r="I45" t="s">
        <v>41</v>
      </c>
      <c r="J45"/>
      <c r="K45">
        <v>117.37</v>
      </c>
      <c r="L45">
        <v>0.0</v>
      </c>
      <c r="M45"/>
      <c r="N45"/>
      <c r="O45">
        <v>21.13</v>
      </c>
      <c r="P45">
        <v>0.0</v>
      </c>
      <c r="Q45">
        <v>138.5</v>
      </c>
      <c r="R45"/>
      <c r="S45"/>
      <c r="T45"/>
      <c r="U45"/>
      <c r="V45"/>
      <c r="W45">
        <v>18</v>
      </c>
    </row>
    <row r="46" spans="1:23">
      <c r="A46"/>
      <c r="B46" t="s">
        <v>64</v>
      </c>
      <c r="C46" t="s">
        <v>64</v>
      </c>
      <c r="D46" t="s">
        <v>33</v>
      </c>
      <c r="E46" t="s">
        <v>34</v>
      </c>
      <c r="F46" t="str">
        <f>"0008116"</f>
        <v>0008116</v>
      </c>
      <c r="G46">
        <v>6</v>
      </c>
      <c r="H46" t="str">
        <f>"20602050506"</f>
        <v>20602050506</v>
      </c>
      <c r="I46" t="s">
        <v>41</v>
      </c>
      <c r="J46"/>
      <c r="K46">
        <v>120.76</v>
      </c>
      <c r="L46">
        <v>0.0</v>
      </c>
      <c r="M46"/>
      <c r="N46"/>
      <c r="O46">
        <v>21.74</v>
      </c>
      <c r="P46">
        <v>0.0</v>
      </c>
      <c r="Q46">
        <v>142.5</v>
      </c>
      <c r="R46"/>
      <c r="S46"/>
      <c r="T46"/>
      <c r="U46"/>
      <c r="V46"/>
      <c r="W46">
        <v>18</v>
      </c>
    </row>
    <row r="47" spans="1:23">
      <c r="A47"/>
      <c r="B47" t="s">
        <v>64</v>
      </c>
      <c r="C47" t="s">
        <v>64</v>
      </c>
      <c r="D47" t="s">
        <v>33</v>
      </c>
      <c r="E47" t="s">
        <v>34</v>
      </c>
      <c r="F47" t="str">
        <f>"0008117"</f>
        <v>0008117</v>
      </c>
      <c r="G47">
        <v>1</v>
      </c>
      <c r="H47" t="str">
        <f>"000iensl"</f>
        <v>000iensl</v>
      </c>
      <c r="I47" t="s">
        <v>66</v>
      </c>
      <c r="J47"/>
      <c r="K47">
        <v>135.59</v>
      </c>
      <c r="L47">
        <v>0.0</v>
      </c>
      <c r="M47"/>
      <c r="N47"/>
      <c r="O47">
        <v>24.41</v>
      </c>
      <c r="P47">
        <v>0.0</v>
      </c>
      <c r="Q47">
        <v>160.0</v>
      </c>
      <c r="R47"/>
      <c r="S47"/>
      <c r="T47"/>
      <c r="U47"/>
      <c r="V47"/>
      <c r="W47">
        <v>18</v>
      </c>
    </row>
    <row r="48" spans="1:23">
      <c r="A48"/>
      <c r="B48" t="s">
        <v>64</v>
      </c>
      <c r="C48" t="s">
        <v>64</v>
      </c>
      <c r="D48" t="s">
        <v>33</v>
      </c>
      <c r="E48" t="s">
        <v>34</v>
      </c>
      <c r="F48" t="str">
        <f>"0008118"</f>
        <v>0008118</v>
      </c>
      <c r="G48">
        <v>1</v>
      </c>
      <c r="H48" t="str">
        <f>"27577717"</f>
        <v>27577717</v>
      </c>
      <c r="I48" t="s">
        <v>67</v>
      </c>
      <c r="J48"/>
      <c r="K48">
        <v>6.78</v>
      </c>
      <c r="L48">
        <v>0.0</v>
      </c>
      <c r="M48"/>
      <c r="N48"/>
      <c r="O48">
        <v>1.22</v>
      </c>
      <c r="P48">
        <v>0.0</v>
      </c>
      <c r="Q48">
        <v>8.0</v>
      </c>
      <c r="R48"/>
      <c r="S48"/>
      <c r="T48"/>
      <c r="U48"/>
      <c r="V48"/>
      <c r="W48">
        <v>18</v>
      </c>
    </row>
    <row r="49" spans="1:23">
      <c r="A49"/>
      <c r="B49" t="s">
        <v>68</v>
      </c>
      <c r="C49" t="s">
        <v>68</v>
      </c>
      <c r="D49" t="s">
        <v>37</v>
      </c>
      <c r="E49" t="s">
        <v>38</v>
      </c>
      <c r="F49" t="str">
        <f>"0000558"</f>
        <v>0000558</v>
      </c>
      <c r="G49">
        <v>6</v>
      </c>
      <c r="H49" t="str">
        <f>"20496115440"</f>
        <v>20496115440</v>
      </c>
      <c r="I49" t="s">
        <v>69</v>
      </c>
      <c r="J49"/>
      <c r="K49">
        <v>29.66</v>
      </c>
      <c r="L49">
        <v>0.0</v>
      </c>
      <c r="M49"/>
      <c r="N49"/>
      <c r="O49">
        <v>5.34</v>
      </c>
      <c r="P49">
        <v>0.0</v>
      </c>
      <c r="Q49">
        <v>35.0</v>
      </c>
      <c r="R49"/>
      <c r="S49"/>
      <c r="T49"/>
      <c r="U49"/>
      <c r="V49"/>
      <c r="W49">
        <v>18</v>
      </c>
    </row>
    <row r="50" spans="1:23">
      <c r="A50"/>
      <c r="B50" t="s">
        <v>68</v>
      </c>
      <c r="C50" t="s">
        <v>68</v>
      </c>
      <c r="D50" t="s">
        <v>37</v>
      </c>
      <c r="E50" t="s">
        <v>38</v>
      </c>
      <c r="F50" t="str">
        <f>"0000559"</f>
        <v>0000559</v>
      </c>
      <c r="G50">
        <v>6</v>
      </c>
      <c r="H50" t="str">
        <f>"20522232531"</f>
        <v>20522232531</v>
      </c>
      <c r="I50" t="s">
        <v>70</v>
      </c>
      <c r="J50"/>
      <c r="K50">
        <v>19.49</v>
      </c>
      <c r="L50">
        <v>0.0</v>
      </c>
      <c r="M50"/>
      <c r="N50"/>
      <c r="O50">
        <v>3.51</v>
      </c>
      <c r="P50">
        <v>0.0</v>
      </c>
      <c r="Q50">
        <v>23.0</v>
      </c>
      <c r="R50"/>
      <c r="S50"/>
      <c r="T50"/>
      <c r="U50"/>
      <c r="V50"/>
      <c r="W50">
        <v>18</v>
      </c>
    </row>
    <row r="51" spans="1:23">
      <c r="A51"/>
      <c r="B51" t="s">
        <v>68</v>
      </c>
      <c r="C51" t="s">
        <v>68</v>
      </c>
      <c r="D51" t="s">
        <v>33</v>
      </c>
      <c r="E51" t="s">
        <v>34</v>
      </c>
      <c r="F51" t="str">
        <f>"0008119"</f>
        <v>0008119</v>
      </c>
      <c r="G51">
        <v>1</v>
      </c>
      <c r="H51" t="str">
        <f>"00000001"</f>
        <v>00000001</v>
      </c>
      <c r="I51" t="s">
        <v>35</v>
      </c>
      <c r="J51"/>
      <c r="K51">
        <v>193.22</v>
      </c>
      <c r="L51">
        <v>0.0</v>
      </c>
      <c r="M51"/>
      <c r="N51"/>
      <c r="O51">
        <v>34.78</v>
      </c>
      <c r="P51">
        <v>0.0</v>
      </c>
      <c r="Q51">
        <v>228.0</v>
      </c>
      <c r="R51"/>
      <c r="S51"/>
      <c r="T51"/>
      <c r="U51"/>
      <c r="V51"/>
      <c r="W51">
        <v>18</v>
      </c>
    </row>
    <row r="52" spans="1:23">
      <c r="A52"/>
      <c r="B52" t="s">
        <v>68</v>
      </c>
      <c r="C52" t="s">
        <v>68</v>
      </c>
      <c r="D52" t="s">
        <v>33</v>
      </c>
      <c r="E52" t="s">
        <v>34</v>
      </c>
      <c r="F52" t="str">
        <f>"0008120"</f>
        <v>0008120</v>
      </c>
      <c r="G52">
        <v>1</v>
      </c>
      <c r="H52" t="str">
        <f>"00000001"</f>
        <v>00000001</v>
      </c>
      <c r="I52" t="s">
        <v>35</v>
      </c>
      <c r="J52"/>
      <c r="K52">
        <v>223.73</v>
      </c>
      <c r="L52">
        <v>0.0</v>
      </c>
      <c r="M52"/>
      <c r="N52"/>
      <c r="O52">
        <v>40.27</v>
      </c>
      <c r="P52">
        <v>0.0</v>
      </c>
      <c r="Q52">
        <v>264.0</v>
      </c>
      <c r="R52"/>
      <c r="S52"/>
      <c r="T52"/>
      <c r="U52"/>
      <c r="V52"/>
      <c r="W52">
        <v>18</v>
      </c>
    </row>
    <row r="53" spans="1:23">
      <c r="A53"/>
      <c r="B53" t="s">
        <v>68</v>
      </c>
      <c r="C53" t="s">
        <v>68</v>
      </c>
      <c r="D53" t="s">
        <v>33</v>
      </c>
      <c r="E53" t="s">
        <v>34</v>
      </c>
      <c r="F53" t="str">
        <f>"0008121"</f>
        <v>0008121</v>
      </c>
      <c r="G53">
        <v>1</v>
      </c>
      <c r="H53" t="str">
        <f>"00000001"</f>
        <v>00000001</v>
      </c>
      <c r="I53" t="s">
        <v>35</v>
      </c>
      <c r="J53"/>
      <c r="K53">
        <v>24.15</v>
      </c>
      <c r="L53">
        <v>0.0</v>
      </c>
      <c r="M53"/>
      <c r="N53"/>
      <c r="O53">
        <v>4.35</v>
      </c>
      <c r="P53">
        <v>0.0</v>
      </c>
      <c r="Q53">
        <v>28.5</v>
      </c>
      <c r="R53"/>
      <c r="S53"/>
      <c r="T53"/>
      <c r="U53"/>
      <c r="V53"/>
      <c r="W53">
        <v>18</v>
      </c>
    </row>
    <row r="54" spans="1:23">
      <c r="A54"/>
      <c r="B54" t="s">
        <v>68</v>
      </c>
      <c r="C54" t="s">
        <v>68</v>
      </c>
      <c r="D54" t="s">
        <v>33</v>
      </c>
      <c r="E54" t="s">
        <v>34</v>
      </c>
      <c r="F54" t="str">
        <f>"0008122"</f>
        <v>0008122</v>
      </c>
      <c r="G54">
        <v>1</v>
      </c>
      <c r="H54" t="str">
        <f>"IEN82662"</f>
        <v>IEN82662</v>
      </c>
      <c r="I54" t="s">
        <v>71</v>
      </c>
      <c r="J54"/>
      <c r="K54">
        <v>32.2</v>
      </c>
      <c r="L54">
        <v>0.0</v>
      </c>
      <c r="M54"/>
      <c r="N54"/>
      <c r="O54">
        <v>5.8</v>
      </c>
      <c r="P54">
        <v>0.0</v>
      </c>
      <c r="Q54">
        <v>38.0</v>
      </c>
      <c r="R54"/>
      <c r="S54"/>
      <c r="T54"/>
      <c r="U54"/>
      <c r="V54"/>
      <c r="W54">
        <v>18</v>
      </c>
    </row>
    <row r="55" spans="1:23">
      <c r="A55"/>
      <c r="B55" t="s">
        <v>72</v>
      </c>
      <c r="C55" t="s">
        <v>72</v>
      </c>
      <c r="D55" t="s">
        <v>33</v>
      </c>
      <c r="E55" t="s">
        <v>34</v>
      </c>
      <c r="F55" t="str">
        <f>"0008123"</f>
        <v>0008123</v>
      </c>
      <c r="G55">
        <v>1</v>
      </c>
      <c r="H55" t="str">
        <f>"00082698"</f>
        <v>00082698</v>
      </c>
      <c r="I55" t="s">
        <v>73</v>
      </c>
      <c r="J55"/>
      <c r="K55">
        <v>144.07</v>
      </c>
      <c r="L55">
        <v>0.0</v>
      </c>
      <c r="M55"/>
      <c r="N55"/>
      <c r="O55">
        <v>25.93</v>
      </c>
      <c r="P55">
        <v>0.0</v>
      </c>
      <c r="Q55">
        <v>170.0</v>
      </c>
      <c r="R55"/>
      <c r="S55"/>
      <c r="T55"/>
      <c r="U55"/>
      <c r="V55"/>
      <c r="W55">
        <v>18</v>
      </c>
    </row>
    <row r="56" spans="1:23">
      <c r="A56"/>
      <c r="B56" t="s">
        <v>72</v>
      </c>
      <c r="C56" t="s">
        <v>72</v>
      </c>
      <c r="D56" t="s">
        <v>33</v>
      </c>
      <c r="E56" t="s">
        <v>34</v>
      </c>
      <c r="F56" t="str">
        <f>"0008124"</f>
        <v>0008124</v>
      </c>
      <c r="G56">
        <v>1</v>
      </c>
      <c r="H56" t="str">
        <f>"00082698"</f>
        <v>00082698</v>
      </c>
      <c r="I56" t="s">
        <v>73</v>
      </c>
      <c r="J56"/>
      <c r="K56">
        <v>16.95</v>
      </c>
      <c r="L56">
        <v>0.0</v>
      </c>
      <c r="M56"/>
      <c r="N56"/>
      <c r="O56">
        <v>3.05</v>
      </c>
      <c r="P56">
        <v>0.0</v>
      </c>
      <c r="Q56">
        <v>20.0</v>
      </c>
      <c r="R56"/>
      <c r="S56"/>
      <c r="T56"/>
      <c r="U56"/>
      <c r="V56"/>
      <c r="W56">
        <v>18</v>
      </c>
    </row>
    <row r="57" spans="1:23">
      <c r="A57"/>
      <c r="B57" t="s">
        <v>72</v>
      </c>
      <c r="C57" t="s">
        <v>72</v>
      </c>
      <c r="D57" t="s">
        <v>33</v>
      </c>
      <c r="E57" t="s">
        <v>34</v>
      </c>
      <c r="F57" t="str">
        <f>"0008125"</f>
        <v>0008125</v>
      </c>
      <c r="G57">
        <v>1</v>
      </c>
      <c r="H57" t="str">
        <f>"00000001"</f>
        <v>00000001</v>
      </c>
      <c r="I57" t="s">
        <v>35</v>
      </c>
      <c r="J57"/>
      <c r="K57">
        <v>12.71</v>
      </c>
      <c r="L57">
        <v>0.0</v>
      </c>
      <c r="M57"/>
      <c r="N57"/>
      <c r="O57">
        <v>2.29</v>
      </c>
      <c r="P57">
        <v>0.0</v>
      </c>
      <c r="Q57">
        <v>15.0</v>
      </c>
      <c r="R57"/>
      <c r="S57"/>
      <c r="T57"/>
      <c r="U57"/>
      <c r="V57"/>
      <c r="W57">
        <v>18</v>
      </c>
    </row>
    <row r="58" spans="1:23">
      <c r="A58"/>
      <c r="B58" t="s">
        <v>72</v>
      </c>
      <c r="C58" t="s">
        <v>72</v>
      </c>
      <c r="D58" t="s">
        <v>33</v>
      </c>
      <c r="E58" t="s">
        <v>34</v>
      </c>
      <c r="F58" t="str">
        <f>"0008126"</f>
        <v>0008126</v>
      </c>
      <c r="G58">
        <v>1</v>
      </c>
      <c r="H58" t="str">
        <f>"00000001"</f>
        <v>00000001</v>
      </c>
      <c r="I58" t="s">
        <v>35</v>
      </c>
      <c r="J58"/>
      <c r="K58">
        <v>5.08</v>
      </c>
      <c r="L58">
        <v>0.0</v>
      </c>
      <c r="M58"/>
      <c r="N58"/>
      <c r="O58">
        <v>0.92</v>
      </c>
      <c r="P58">
        <v>0.0</v>
      </c>
      <c r="Q58">
        <v>6.0</v>
      </c>
      <c r="R58"/>
      <c r="S58"/>
      <c r="T58"/>
      <c r="U58"/>
      <c r="V58"/>
      <c r="W58">
        <v>18</v>
      </c>
    </row>
    <row r="59" spans="1:23">
      <c r="A59"/>
      <c r="B59" t="s">
        <v>72</v>
      </c>
      <c r="C59" t="s">
        <v>72</v>
      </c>
      <c r="D59" t="s">
        <v>33</v>
      </c>
      <c r="E59" t="s">
        <v>34</v>
      </c>
      <c r="F59" t="str">
        <f>"0008127"</f>
        <v>0008127</v>
      </c>
      <c r="G59">
        <v>1</v>
      </c>
      <c r="H59" t="str">
        <f>"00000001"</f>
        <v>00000001</v>
      </c>
      <c r="I59" t="s">
        <v>35</v>
      </c>
      <c r="J59"/>
      <c r="K59">
        <v>4.24</v>
      </c>
      <c r="L59">
        <v>0.0</v>
      </c>
      <c r="M59"/>
      <c r="N59"/>
      <c r="O59">
        <v>0.76</v>
      </c>
      <c r="P59">
        <v>0.0</v>
      </c>
      <c r="Q59">
        <v>5.0</v>
      </c>
      <c r="R59"/>
      <c r="S59"/>
      <c r="T59"/>
      <c r="U59"/>
      <c r="V59"/>
      <c r="W59">
        <v>18</v>
      </c>
    </row>
    <row r="60" spans="1:23">
      <c r="A60"/>
      <c r="B60" t="s">
        <v>72</v>
      </c>
      <c r="C60" t="s">
        <v>72</v>
      </c>
      <c r="D60" t="s">
        <v>33</v>
      </c>
      <c r="E60" t="s">
        <v>34</v>
      </c>
      <c r="F60" t="str">
        <f>"0008128"</f>
        <v>0008128</v>
      </c>
      <c r="G60">
        <v>1</v>
      </c>
      <c r="H60" t="str">
        <f>"00000001"</f>
        <v>00000001</v>
      </c>
      <c r="I60" t="s">
        <v>35</v>
      </c>
      <c r="J60"/>
      <c r="K60">
        <v>12.71</v>
      </c>
      <c r="L60">
        <v>0.0</v>
      </c>
      <c r="M60"/>
      <c r="N60"/>
      <c r="O60">
        <v>2.29</v>
      </c>
      <c r="P60">
        <v>0.0</v>
      </c>
      <c r="Q60">
        <v>15.0</v>
      </c>
      <c r="R60"/>
      <c r="S60"/>
      <c r="T60"/>
      <c r="U60"/>
      <c r="V60"/>
      <c r="W60">
        <v>18</v>
      </c>
    </row>
    <row r="61" spans="1:23">
      <c r="A61"/>
      <c r="B61" t="s">
        <v>72</v>
      </c>
      <c r="C61" t="s">
        <v>72</v>
      </c>
      <c r="D61" t="s">
        <v>33</v>
      </c>
      <c r="E61" t="s">
        <v>34</v>
      </c>
      <c r="F61" t="str">
        <f>"0008129"</f>
        <v>0008129</v>
      </c>
      <c r="G61">
        <v>1</v>
      </c>
      <c r="H61" t="str">
        <f>"00000001"</f>
        <v>00000001</v>
      </c>
      <c r="I61" t="s">
        <v>35</v>
      </c>
      <c r="J61"/>
      <c r="K61">
        <v>33.9</v>
      </c>
      <c r="L61">
        <v>0.0</v>
      </c>
      <c r="M61"/>
      <c r="N61"/>
      <c r="O61">
        <v>6.1</v>
      </c>
      <c r="P61">
        <v>0.0</v>
      </c>
      <c r="Q61">
        <v>40.0</v>
      </c>
      <c r="R61"/>
      <c r="S61"/>
      <c r="T61"/>
      <c r="U61"/>
      <c r="V61"/>
      <c r="W61">
        <v>18</v>
      </c>
    </row>
    <row r="62" spans="1:23">
      <c r="A62"/>
      <c r="B62" t="s">
        <v>72</v>
      </c>
      <c r="C62" t="s">
        <v>72</v>
      </c>
      <c r="D62" t="s">
        <v>33</v>
      </c>
      <c r="E62" t="s">
        <v>34</v>
      </c>
      <c r="F62" t="str">
        <f>"0008130"</f>
        <v>0008130</v>
      </c>
      <c r="G62">
        <v>1</v>
      </c>
      <c r="H62" t="str">
        <f>"00000001"</f>
        <v>00000001</v>
      </c>
      <c r="I62" t="s">
        <v>35</v>
      </c>
      <c r="J62"/>
      <c r="K62">
        <v>12.71</v>
      </c>
      <c r="L62">
        <v>0.0</v>
      </c>
      <c r="M62"/>
      <c r="N62"/>
      <c r="O62">
        <v>2.29</v>
      </c>
      <c r="P62">
        <v>0.0</v>
      </c>
      <c r="Q62">
        <v>15.0</v>
      </c>
      <c r="R62"/>
      <c r="S62"/>
      <c r="T62"/>
      <c r="U62"/>
      <c r="V62"/>
      <c r="W62">
        <v>18</v>
      </c>
    </row>
    <row r="63" spans="1:23">
      <c r="A63"/>
      <c r="B63" t="s">
        <v>72</v>
      </c>
      <c r="C63" t="s">
        <v>72</v>
      </c>
      <c r="D63" t="s">
        <v>33</v>
      </c>
      <c r="E63" t="s">
        <v>34</v>
      </c>
      <c r="F63" t="str">
        <f>"0008131"</f>
        <v>0008131</v>
      </c>
      <c r="G63">
        <v>1</v>
      </c>
      <c r="H63" t="str">
        <f>"00000001"</f>
        <v>00000001</v>
      </c>
      <c r="I63" t="s">
        <v>35</v>
      </c>
      <c r="J63"/>
      <c r="K63">
        <v>46.61</v>
      </c>
      <c r="L63">
        <v>0.0</v>
      </c>
      <c r="M63"/>
      <c r="N63"/>
      <c r="O63">
        <v>8.39</v>
      </c>
      <c r="P63">
        <v>0.0</v>
      </c>
      <c r="Q63">
        <v>55.0</v>
      </c>
      <c r="R63"/>
      <c r="S63"/>
      <c r="T63"/>
      <c r="U63"/>
      <c r="V63"/>
      <c r="W63">
        <v>18</v>
      </c>
    </row>
    <row r="64" spans="1:23">
      <c r="A64"/>
      <c r="B64" t="s">
        <v>72</v>
      </c>
      <c r="C64" t="s">
        <v>72</v>
      </c>
      <c r="D64" t="s">
        <v>33</v>
      </c>
      <c r="E64" t="s">
        <v>34</v>
      </c>
      <c r="F64" t="str">
        <f>"0008132"</f>
        <v>0008132</v>
      </c>
      <c r="G64">
        <v>1</v>
      </c>
      <c r="H64" t="str">
        <f>"00000001"</f>
        <v>00000001</v>
      </c>
      <c r="I64" t="s">
        <v>35</v>
      </c>
      <c r="J64"/>
      <c r="K64">
        <v>186.44</v>
      </c>
      <c r="L64">
        <v>0.0</v>
      </c>
      <c r="M64"/>
      <c r="N64"/>
      <c r="O64">
        <v>33.56</v>
      </c>
      <c r="P64">
        <v>0.0</v>
      </c>
      <c r="Q64">
        <v>220.0</v>
      </c>
      <c r="R64"/>
      <c r="S64"/>
      <c r="T64"/>
      <c r="U64"/>
      <c r="V64"/>
      <c r="W64">
        <v>18</v>
      </c>
    </row>
    <row r="65" spans="1:23">
      <c r="A65"/>
      <c r="B65" t="s">
        <v>72</v>
      </c>
      <c r="C65" t="s">
        <v>72</v>
      </c>
      <c r="D65" t="s">
        <v>33</v>
      </c>
      <c r="E65" t="s">
        <v>34</v>
      </c>
      <c r="F65" t="str">
        <f>"0008133"</f>
        <v>0008133</v>
      </c>
      <c r="G65">
        <v>1</v>
      </c>
      <c r="H65" t="str">
        <f>"00000001"</f>
        <v>00000001</v>
      </c>
      <c r="I65" t="s">
        <v>35</v>
      </c>
      <c r="J65"/>
      <c r="K65">
        <v>10.17</v>
      </c>
      <c r="L65">
        <v>0.0</v>
      </c>
      <c r="M65"/>
      <c r="N65"/>
      <c r="O65">
        <v>1.83</v>
      </c>
      <c r="P65">
        <v>0.0</v>
      </c>
      <c r="Q65">
        <v>12.0</v>
      </c>
      <c r="R65"/>
      <c r="S65"/>
      <c r="T65"/>
      <c r="U65"/>
      <c r="V65"/>
      <c r="W65">
        <v>18</v>
      </c>
    </row>
    <row r="66" spans="1:23">
      <c r="A66"/>
      <c r="B66" t="s">
        <v>72</v>
      </c>
      <c r="C66" t="s">
        <v>72</v>
      </c>
      <c r="D66" t="s">
        <v>33</v>
      </c>
      <c r="E66" t="s">
        <v>34</v>
      </c>
      <c r="F66" t="str">
        <f>"0008134"</f>
        <v>0008134</v>
      </c>
      <c r="G66">
        <v>1</v>
      </c>
      <c r="H66" t="str">
        <f>"00000001"</f>
        <v>00000001</v>
      </c>
      <c r="I66" t="s">
        <v>35</v>
      </c>
      <c r="J66"/>
      <c r="K66">
        <v>34.75</v>
      </c>
      <c r="L66">
        <v>0.0</v>
      </c>
      <c r="M66"/>
      <c r="N66"/>
      <c r="O66">
        <v>6.25</v>
      </c>
      <c r="P66">
        <v>0.0</v>
      </c>
      <c r="Q66">
        <v>41.0</v>
      </c>
      <c r="R66"/>
      <c r="S66"/>
      <c r="T66"/>
      <c r="U66"/>
      <c r="V66"/>
      <c r="W66">
        <v>18</v>
      </c>
    </row>
    <row r="67" spans="1:23">
      <c r="A67"/>
      <c r="B67" t="s">
        <v>72</v>
      </c>
      <c r="C67" t="s">
        <v>72</v>
      </c>
      <c r="D67" t="s">
        <v>33</v>
      </c>
      <c r="E67" t="s">
        <v>34</v>
      </c>
      <c r="F67" t="str">
        <f>"0008135"</f>
        <v>0008135</v>
      </c>
      <c r="G67">
        <v>1</v>
      </c>
      <c r="H67" t="str">
        <f>"00000001"</f>
        <v>00000001</v>
      </c>
      <c r="I67" t="s">
        <v>35</v>
      </c>
      <c r="J67"/>
      <c r="K67">
        <v>25.42</v>
      </c>
      <c r="L67">
        <v>0.0</v>
      </c>
      <c r="M67"/>
      <c r="N67"/>
      <c r="O67">
        <v>4.58</v>
      </c>
      <c r="P67">
        <v>0.0</v>
      </c>
      <c r="Q67">
        <v>30.0</v>
      </c>
      <c r="R67"/>
      <c r="S67"/>
      <c r="T67"/>
      <c r="U67"/>
      <c r="V67"/>
      <c r="W67">
        <v>18</v>
      </c>
    </row>
    <row r="68" spans="1:23">
      <c r="A68"/>
      <c r="B68" t="s">
        <v>72</v>
      </c>
      <c r="C68" t="s">
        <v>72</v>
      </c>
      <c r="D68" t="s">
        <v>33</v>
      </c>
      <c r="E68" t="s">
        <v>34</v>
      </c>
      <c r="F68" t="str">
        <f>"0008136"</f>
        <v>0008136</v>
      </c>
      <c r="G68">
        <v>1</v>
      </c>
      <c r="H68" t="str">
        <f>"00000001"</f>
        <v>00000001</v>
      </c>
      <c r="I68" t="s">
        <v>35</v>
      </c>
      <c r="J68"/>
      <c r="K68">
        <v>61.02</v>
      </c>
      <c r="L68">
        <v>0.0</v>
      </c>
      <c r="M68"/>
      <c r="N68"/>
      <c r="O68">
        <v>10.98</v>
      </c>
      <c r="P68">
        <v>0.0</v>
      </c>
      <c r="Q68">
        <v>72.0</v>
      </c>
      <c r="R68"/>
      <c r="S68"/>
      <c r="T68"/>
      <c r="U68"/>
      <c r="V68"/>
      <c r="W68">
        <v>18</v>
      </c>
    </row>
    <row r="69" spans="1:23">
      <c r="A69"/>
      <c r="B69" t="s">
        <v>74</v>
      </c>
      <c r="C69" t="s">
        <v>74</v>
      </c>
      <c r="D69" t="s">
        <v>37</v>
      </c>
      <c r="E69" t="s">
        <v>38</v>
      </c>
      <c r="F69" t="str">
        <f>"0000560"</f>
        <v>0000560</v>
      </c>
      <c r="G69">
        <v>6</v>
      </c>
      <c r="H69" t="str">
        <f>"20606468629"</f>
        <v>20606468629</v>
      </c>
      <c r="I69" t="s">
        <v>75</v>
      </c>
      <c r="J69"/>
      <c r="K69">
        <v>32.2</v>
      </c>
      <c r="L69">
        <v>0.0</v>
      </c>
      <c r="M69"/>
      <c r="N69"/>
      <c r="O69">
        <v>5.8</v>
      </c>
      <c r="P69">
        <v>0.0</v>
      </c>
      <c r="Q69">
        <v>38.0</v>
      </c>
      <c r="R69"/>
      <c r="S69"/>
      <c r="T69"/>
      <c r="U69"/>
      <c r="V69"/>
      <c r="W69">
        <v>18</v>
      </c>
    </row>
    <row r="70" spans="1:23">
      <c r="A70"/>
      <c r="B70" t="s">
        <v>74</v>
      </c>
      <c r="C70" t="s">
        <v>74</v>
      </c>
      <c r="D70" t="s">
        <v>33</v>
      </c>
      <c r="E70" t="s">
        <v>34</v>
      </c>
      <c r="F70" t="str">
        <f>"0008137"</f>
        <v>0008137</v>
      </c>
      <c r="G70">
        <v>6</v>
      </c>
      <c r="H70" t="str">
        <f>"20610600787"</f>
        <v>20610600787</v>
      </c>
      <c r="I70" t="s">
        <v>63</v>
      </c>
      <c r="J70"/>
      <c r="K70">
        <v>61.02</v>
      </c>
      <c r="L70">
        <v>0.0</v>
      </c>
      <c r="M70"/>
      <c r="N70"/>
      <c r="O70">
        <v>10.98</v>
      </c>
      <c r="P70">
        <v>0.0</v>
      </c>
      <c r="Q70">
        <v>72.0</v>
      </c>
      <c r="R70"/>
      <c r="S70"/>
      <c r="T70"/>
      <c r="U70"/>
      <c r="V70"/>
      <c r="W70">
        <v>18</v>
      </c>
    </row>
    <row r="71" spans="1:23">
      <c r="A71"/>
      <c r="B71" t="s">
        <v>74</v>
      </c>
      <c r="C71" t="s">
        <v>74</v>
      </c>
      <c r="D71" t="s">
        <v>33</v>
      </c>
      <c r="E71" t="s">
        <v>34</v>
      </c>
      <c r="F71" t="str">
        <f>"0008138"</f>
        <v>0008138</v>
      </c>
      <c r="G71">
        <v>6</v>
      </c>
      <c r="H71" t="str">
        <f>"20608473174"</f>
        <v>20608473174</v>
      </c>
      <c r="I71" t="s">
        <v>76</v>
      </c>
      <c r="J71"/>
      <c r="K71">
        <v>26.27</v>
      </c>
      <c r="L71">
        <v>0.0</v>
      </c>
      <c r="M71"/>
      <c r="N71"/>
      <c r="O71">
        <v>4.73</v>
      </c>
      <c r="P71">
        <v>0.0</v>
      </c>
      <c r="Q71">
        <v>31.0</v>
      </c>
      <c r="R71"/>
      <c r="S71"/>
      <c r="T71"/>
      <c r="U71"/>
      <c r="V71"/>
      <c r="W71">
        <v>18</v>
      </c>
    </row>
    <row r="72" spans="1:23">
      <c r="A72"/>
      <c r="B72" t="s">
        <v>74</v>
      </c>
      <c r="C72" t="s">
        <v>74</v>
      </c>
      <c r="D72" t="s">
        <v>33</v>
      </c>
      <c r="E72" t="s">
        <v>34</v>
      </c>
      <c r="F72" t="str">
        <f>"0008139"</f>
        <v>0008139</v>
      </c>
      <c r="G72">
        <v>6</v>
      </c>
      <c r="H72" t="str">
        <f>"20538633021"</f>
        <v>20538633021</v>
      </c>
      <c r="I72" t="s">
        <v>77</v>
      </c>
      <c r="J72"/>
      <c r="K72">
        <v>30.51</v>
      </c>
      <c r="L72">
        <v>0.0</v>
      </c>
      <c r="M72"/>
      <c r="N72"/>
      <c r="O72">
        <v>5.49</v>
      </c>
      <c r="P72">
        <v>0.0</v>
      </c>
      <c r="Q72">
        <v>36.0</v>
      </c>
      <c r="R72"/>
      <c r="S72"/>
      <c r="T72"/>
      <c r="U72"/>
      <c r="V72"/>
      <c r="W72">
        <v>18</v>
      </c>
    </row>
    <row r="73" spans="1:23">
      <c r="A73"/>
      <c r="B73" t="s">
        <v>74</v>
      </c>
      <c r="C73" t="s">
        <v>74</v>
      </c>
      <c r="D73" t="s">
        <v>33</v>
      </c>
      <c r="E73" t="s">
        <v>34</v>
      </c>
      <c r="F73" t="str">
        <f>"0008140"</f>
        <v>0008140</v>
      </c>
      <c r="G73">
        <v>6</v>
      </c>
      <c r="H73" t="str">
        <f>"20608473174"</f>
        <v>20608473174</v>
      </c>
      <c r="I73" t="s">
        <v>76</v>
      </c>
      <c r="J73"/>
      <c r="K73">
        <v>10.17</v>
      </c>
      <c r="L73">
        <v>0.0</v>
      </c>
      <c r="M73"/>
      <c r="N73"/>
      <c r="O73">
        <v>1.83</v>
      </c>
      <c r="P73">
        <v>0.0</v>
      </c>
      <c r="Q73">
        <v>12.0</v>
      </c>
      <c r="R73"/>
      <c r="S73"/>
      <c r="T73"/>
      <c r="U73"/>
      <c r="V73"/>
      <c r="W73">
        <v>18</v>
      </c>
    </row>
    <row r="74" spans="1:23">
      <c r="A74"/>
      <c r="B74" t="s">
        <v>74</v>
      </c>
      <c r="C74" t="s">
        <v>74</v>
      </c>
      <c r="D74" t="s">
        <v>37</v>
      </c>
      <c r="E74" t="s">
        <v>38</v>
      </c>
      <c r="F74" t="str">
        <f>"0000561"</f>
        <v>0000561</v>
      </c>
      <c r="G74">
        <v>6</v>
      </c>
      <c r="H74" t="str">
        <f>"20496115440"</f>
        <v>20496115440</v>
      </c>
      <c r="I74" t="s">
        <v>69</v>
      </c>
      <c r="J74"/>
      <c r="K74">
        <v>62.29</v>
      </c>
      <c r="L74">
        <v>0.0</v>
      </c>
      <c r="M74"/>
      <c r="N74"/>
      <c r="O74">
        <v>11.21</v>
      </c>
      <c r="P74">
        <v>0.0</v>
      </c>
      <c r="Q74">
        <v>73.5</v>
      </c>
      <c r="R74"/>
      <c r="S74"/>
      <c r="T74"/>
      <c r="U74"/>
      <c r="V74"/>
      <c r="W74">
        <v>18</v>
      </c>
    </row>
    <row r="75" spans="1:23">
      <c r="A75"/>
      <c r="B75" t="s">
        <v>74</v>
      </c>
      <c r="C75" t="s">
        <v>74</v>
      </c>
      <c r="D75" t="s">
        <v>37</v>
      </c>
      <c r="E75" t="s">
        <v>38</v>
      </c>
      <c r="F75" t="str">
        <f>"0000562"</f>
        <v>0000562</v>
      </c>
      <c r="G75">
        <v>6</v>
      </c>
      <c r="H75" t="str">
        <f>"20147739835"</f>
        <v>20147739835</v>
      </c>
      <c r="I75" t="s">
        <v>52</v>
      </c>
      <c r="J75"/>
      <c r="K75">
        <v>254.24</v>
      </c>
      <c r="L75">
        <v>0.0</v>
      </c>
      <c r="M75"/>
      <c r="N75"/>
      <c r="O75">
        <v>45.76</v>
      </c>
      <c r="P75">
        <v>0.0</v>
      </c>
      <c r="Q75">
        <v>300.0</v>
      </c>
      <c r="R75"/>
      <c r="S75"/>
      <c r="T75"/>
      <c r="U75"/>
      <c r="V75"/>
      <c r="W75">
        <v>18</v>
      </c>
    </row>
    <row r="76" spans="1:23">
      <c r="A76"/>
      <c r="B76" t="s">
        <v>74</v>
      </c>
      <c r="C76" t="s">
        <v>74</v>
      </c>
      <c r="D76" t="s">
        <v>37</v>
      </c>
      <c r="E76" t="s">
        <v>38</v>
      </c>
      <c r="F76" t="str">
        <f>"0000563"</f>
        <v>0000563</v>
      </c>
      <c r="G76">
        <v>6</v>
      </c>
      <c r="H76" t="str">
        <f>"20147739835"</f>
        <v>20147739835</v>
      </c>
      <c r="I76" t="s">
        <v>52</v>
      </c>
      <c r="J76"/>
      <c r="K76">
        <v>255.08</v>
      </c>
      <c r="L76">
        <v>0.0</v>
      </c>
      <c r="M76"/>
      <c r="N76"/>
      <c r="O76">
        <v>45.92</v>
      </c>
      <c r="P76">
        <v>0.0</v>
      </c>
      <c r="Q76">
        <v>301.0</v>
      </c>
      <c r="R76"/>
      <c r="S76"/>
      <c r="T76"/>
      <c r="U76"/>
      <c r="V76"/>
      <c r="W76">
        <v>18</v>
      </c>
    </row>
    <row r="77" spans="1:23">
      <c r="A77"/>
      <c r="B77" t="s">
        <v>78</v>
      </c>
      <c r="C77" t="s">
        <v>78</v>
      </c>
      <c r="D77" t="s">
        <v>33</v>
      </c>
      <c r="E77" t="s">
        <v>34</v>
      </c>
      <c r="F77" t="str">
        <f>"0008141"</f>
        <v>0008141</v>
      </c>
      <c r="G77">
        <v>1</v>
      </c>
      <c r="H77" t="str">
        <f>"00000001"</f>
        <v>00000001</v>
      </c>
      <c r="I77" t="s">
        <v>35</v>
      </c>
      <c r="J77"/>
      <c r="K77">
        <v>20.34</v>
      </c>
      <c r="L77">
        <v>0.0</v>
      </c>
      <c r="M77"/>
      <c r="N77"/>
      <c r="O77">
        <v>3.66</v>
      </c>
      <c r="P77">
        <v>0.0</v>
      </c>
      <c r="Q77">
        <v>24.0</v>
      </c>
      <c r="R77"/>
      <c r="S77"/>
      <c r="T77"/>
      <c r="U77"/>
      <c r="V77"/>
      <c r="W77">
        <v>18</v>
      </c>
    </row>
    <row r="78" spans="1:23">
      <c r="A78"/>
      <c r="B78" t="s">
        <v>78</v>
      </c>
      <c r="C78" t="s">
        <v>78</v>
      </c>
      <c r="D78" t="s">
        <v>33</v>
      </c>
      <c r="E78" t="s">
        <v>34</v>
      </c>
      <c r="F78" t="str">
        <f>"0008142"</f>
        <v>0008142</v>
      </c>
      <c r="G78">
        <v>1</v>
      </c>
      <c r="H78" t="str">
        <f>"00000001"</f>
        <v>00000001</v>
      </c>
      <c r="I78" t="s">
        <v>35</v>
      </c>
      <c r="J78"/>
      <c r="K78">
        <v>9.32</v>
      </c>
      <c r="L78">
        <v>0.0</v>
      </c>
      <c r="M78"/>
      <c r="N78"/>
      <c r="O78">
        <v>1.68</v>
      </c>
      <c r="P78">
        <v>0.0</v>
      </c>
      <c r="Q78">
        <v>11.0</v>
      </c>
      <c r="R78"/>
      <c r="S78"/>
      <c r="T78"/>
      <c r="U78"/>
      <c r="V78"/>
      <c r="W78">
        <v>18</v>
      </c>
    </row>
    <row r="79" spans="1:23">
      <c r="A79"/>
      <c r="B79" t="s">
        <v>78</v>
      </c>
      <c r="C79" t="s">
        <v>78</v>
      </c>
      <c r="D79" t="s">
        <v>33</v>
      </c>
      <c r="E79" t="s">
        <v>34</v>
      </c>
      <c r="F79" t="str">
        <f>"0008143"</f>
        <v>0008143</v>
      </c>
      <c r="G79">
        <v>1</v>
      </c>
      <c r="H79" t="str">
        <f>"00000001"</f>
        <v>00000001</v>
      </c>
      <c r="I79" t="s">
        <v>35</v>
      </c>
      <c r="J79"/>
      <c r="K79">
        <v>1.69</v>
      </c>
      <c r="L79">
        <v>0.0</v>
      </c>
      <c r="M79"/>
      <c r="N79"/>
      <c r="O79">
        <v>0.31</v>
      </c>
      <c r="P79">
        <v>0.0</v>
      </c>
      <c r="Q79">
        <v>2.0</v>
      </c>
      <c r="R79"/>
      <c r="S79"/>
      <c r="T79"/>
      <c r="U79"/>
      <c r="V79"/>
      <c r="W79">
        <v>18</v>
      </c>
    </row>
    <row r="80" spans="1:23">
      <c r="A80"/>
      <c r="B80" t="s">
        <v>78</v>
      </c>
      <c r="C80" t="s">
        <v>78</v>
      </c>
      <c r="D80" t="s">
        <v>33</v>
      </c>
      <c r="E80" t="s">
        <v>34</v>
      </c>
      <c r="F80" t="str">
        <f>"0008144"</f>
        <v>0008144</v>
      </c>
      <c r="G80">
        <v>1</v>
      </c>
      <c r="H80" t="str">
        <f>"00000001"</f>
        <v>00000001</v>
      </c>
      <c r="I80" t="s">
        <v>35</v>
      </c>
      <c r="J80"/>
      <c r="K80">
        <v>7.2</v>
      </c>
      <c r="L80">
        <v>0.0</v>
      </c>
      <c r="M80"/>
      <c r="N80"/>
      <c r="O80">
        <v>1.3</v>
      </c>
      <c r="P80">
        <v>0.0</v>
      </c>
      <c r="Q80">
        <v>8.5</v>
      </c>
      <c r="R80"/>
      <c r="S80"/>
      <c r="T80"/>
      <c r="U80"/>
      <c r="V80"/>
      <c r="W80">
        <v>18</v>
      </c>
    </row>
    <row r="81" spans="1:23">
      <c r="A81"/>
      <c r="B81" t="s">
        <v>78</v>
      </c>
      <c r="C81" t="s">
        <v>78</v>
      </c>
      <c r="D81" t="s">
        <v>33</v>
      </c>
      <c r="E81" t="s">
        <v>34</v>
      </c>
      <c r="F81" t="str">
        <f>"0008145"</f>
        <v>0008145</v>
      </c>
      <c r="G81">
        <v>1</v>
      </c>
      <c r="H81" t="str">
        <f>"0000AVSA"</f>
        <v>0000AVSA</v>
      </c>
      <c r="I81" t="s">
        <v>79</v>
      </c>
      <c r="J81"/>
      <c r="K81">
        <v>16.1</v>
      </c>
      <c r="L81">
        <v>0.0</v>
      </c>
      <c r="M81"/>
      <c r="N81"/>
      <c r="O81">
        <v>2.9</v>
      </c>
      <c r="P81">
        <v>0.0</v>
      </c>
      <c r="Q81">
        <v>19.0</v>
      </c>
      <c r="R81"/>
      <c r="S81"/>
      <c r="T81"/>
      <c r="U81"/>
      <c r="V81"/>
      <c r="W81">
        <v>18</v>
      </c>
    </row>
    <row r="82" spans="1:23">
      <c r="A82"/>
      <c r="B82" t="s">
        <v>78</v>
      </c>
      <c r="C82" t="s">
        <v>78</v>
      </c>
      <c r="D82" t="s">
        <v>33</v>
      </c>
      <c r="E82" t="s">
        <v>34</v>
      </c>
      <c r="F82" t="str">
        <f>"0008146"</f>
        <v>0008146</v>
      </c>
      <c r="G82">
        <v>6</v>
      </c>
      <c r="H82" t="str">
        <f>"20606389478"</f>
        <v>20606389478</v>
      </c>
      <c r="I82" t="s">
        <v>80</v>
      </c>
      <c r="J82"/>
      <c r="K82">
        <v>11.86</v>
      </c>
      <c r="L82">
        <v>0.0</v>
      </c>
      <c r="M82"/>
      <c r="N82"/>
      <c r="O82">
        <v>2.14</v>
      </c>
      <c r="P82">
        <v>0.0</v>
      </c>
      <c r="Q82">
        <v>14.0</v>
      </c>
      <c r="R82"/>
      <c r="S82"/>
      <c r="T82"/>
      <c r="U82"/>
      <c r="V82"/>
      <c r="W82">
        <v>18</v>
      </c>
    </row>
    <row r="83" spans="1:23">
      <c r="A83"/>
      <c r="B83" t="s">
        <v>78</v>
      </c>
      <c r="C83" t="s">
        <v>78</v>
      </c>
      <c r="D83" t="s">
        <v>33</v>
      </c>
      <c r="E83" t="s">
        <v>34</v>
      </c>
      <c r="F83" t="str">
        <f>"0008147"</f>
        <v>0008147</v>
      </c>
      <c r="G83">
        <v>1</v>
      </c>
      <c r="H83" t="str">
        <f>"00000001"</f>
        <v>00000001</v>
      </c>
      <c r="I83" t="s">
        <v>35</v>
      </c>
      <c r="J83"/>
      <c r="K83">
        <v>8.47</v>
      </c>
      <c r="L83">
        <v>0.0</v>
      </c>
      <c r="M83"/>
      <c r="N83"/>
      <c r="O83">
        <v>1.53</v>
      </c>
      <c r="P83">
        <v>0.0</v>
      </c>
      <c r="Q83">
        <v>10.0</v>
      </c>
      <c r="R83"/>
      <c r="S83"/>
      <c r="T83"/>
      <c r="U83"/>
      <c r="V83"/>
      <c r="W83">
        <v>18</v>
      </c>
    </row>
    <row r="84" spans="1:23">
      <c r="A84"/>
      <c r="B84" t="s">
        <v>78</v>
      </c>
      <c r="C84" t="s">
        <v>78</v>
      </c>
      <c r="D84" t="s">
        <v>33</v>
      </c>
      <c r="E84" t="s">
        <v>34</v>
      </c>
      <c r="F84" t="str">
        <f>"0008148"</f>
        <v>0008148</v>
      </c>
      <c r="G84">
        <v>1</v>
      </c>
      <c r="H84" t="str">
        <f>"00000001"</f>
        <v>00000001</v>
      </c>
      <c r="I84" t="s">
        <v>35</v>
      </c>
      <c r="J84"/>
      <c r="K84">
        <v>16.95</v>
      </c>
      <c r="L84">
        <v>0.0</v>
      </c>
      <c r="M84"/>
      <c r="N84"/>
      <c r="O84">
        <v>3.05</v>
      </c>
      <c r="P84">
        <v>0.0</v>
      </c>
      <c r="Q84">
        <v>20.0</v>
      </c>
      <c r="R84"/>
      <c r="S84"/>
      <c r="T84"/>
      <c r="U84"/>
      <c r="V84"/>
      <c r="W84">
        <v>18</v>
      </c>
    </row>
    <row r="85" spans="1:23">
      <c r="A85"/>
      <c r="B85" t="s">
        <v>78</v>
      </c>
      <c r="C85" t="s">
        <v>78</v>
      </c>
      <c r="D85" t="s">
        <v>33</v>
      </c>
      <c r="E85" t="s">
        <v>34</v>
      </c>
      <c r="F85" t="str">
        <f>"0008149"</f>
        <v>0008149</v>
      </c>
      <c r="G85">
        <v>1</v>
      </c>
      <c r="H85" t="str">
        <f>"00000001"</f>
        <v>00000001</v>
      </c>
      <c r="I85" t="s">
        <v>35</v>
      </c>
      <c r="J85"/>
      <c r="K85">
        <v>32.2</v>
      </c>
      <c r="L85">
        <v>0.0</v>
      </c>
      <c r="M85"/>
      <c r="N85"/>
      <c r="O85">
        <v>5.8</v>
      </c>
      <c r="P85">
        <v>0.0</v>
      </c>
      <c r="Q85">
        <v>38.0</v>
      </c>
      <c r="R85"/>
      <c r="S85"/>
      <c r="T85"/>
      <c r="U85"/>
      <c r="V85"/>
      <c r="W85">
        <v>18</v>
      </c>
    </row>
    <row r="86" spans="1:23">
      <c r="A86"/>
      <c r="B86" t="s">
        <v>78</v>
      </c>
      <c r="C86" t="s">
        <v>78</v>
      </c>
      <c r="D86" t="s">
        <v>33</v>
      </c>
      <c r="E86" t="s">
        <v>34</v>
      </c>
      <c r="F86" t="str">
        <f>"0008150"</f>
        <v>0008150</v>
      </c>
      <c r="G86">
        <v>1</v>
      </c>
      <c r="H86" t="str">
        <f>"00000001"</f>
        <v>00000001</v>
      </c>
      <c r="I86" t="s">
        <v>35</v>
      </c>
      <c r="J86"/>
      <c r="K86">
        <v>33.9</v>
      </c>
      <c r="L86">
        <v>0.0</v>
      </c>
      <c r="M86"/>
      <c r="N86"/>
      <c r="O86">
        <v>6.1</v>
      </c>
      <c r="P86">
        <v>0.0</v>
      </c>
      <c r="Q86">
        <v>40.0</v>
      </c>
      <c r="R86"/>
      <c r="S86"/>
      <c r="T86"/>
      <c r="U86"/>
      <c r="V86"/>
      <c r="W86">
        <v>18</v>
      </c>
    </row>
    <row r="87" spans="1:23">
      <c r="A87"/>
      <c r="B87" t="s">
        <v>78</v>
      </c>
      <c r="C87" t="s">
        <v>78</v>
      </c>
      <c r="D87" t="s">
        <v>33</v>
      </c>
      <c r="E87" t="s">
        <v>34</v>
      </c>
      <c r="F87" t="str">
        <f>"0008151"</f>
        <v>0008151</v>
      </c>
      <c r="G87">
        <v>1</v>
      </c>
      <c r="H87" t="str">
        <f>"00000001"</f>
        <v>00000001</v>
      </c>
      <c r="I87" t="s">
        <v>35</v>
      </c>
      <c r="J87"/>
      <c r="K87">
        <v>135.59</v>
      </c>
      <c r="L87">
        <v>0.0</v>
      </c>
      <c r="M87"/>
      <c r="N87"/>
      <c r="O87">
        <v>24.41</v>
      </c>
      <c r="P87">
        <v>0.0</v>
      </c>
      <c r="Q87">
        <v>160.0</v>
      </c>
      <c r="R87"/>
      <c r="S87"/>
      <c r="T87"/>
      <c r="U87"/>
      <c r="V87"/>
      <c r="W87">
        <v>18</v>
      </c>
    </row>
    <row r="88" spans="1:23">
      <c r="A88"/>
      <c r="B88" t="s">
        <v>81</v>
      </c>
      <c r="C88" t="s">
        <v>81</v>
      </c>
      <c r="D88" t="s">
        <v>33</v>
      </c>
      <c r="E88" t="s">
        <v>34</v>
      </c>
      <c r="F88" t="str">
        <f>"0008152"</f>
        <v>0008152</v>
      </c>
      <c r="G88">
        <v>6</v>
      </c>
      <c r="H88" t="str">
        <f>"20602050506"</f>
        <v>20602050506</v>
      </c>
      <c r="I88" t="s">
        <v>41</v>
      </c>
      <c r="J88"/>
      <c r="K88">
        <v>64.41</v>
      </c>
      <c r="L88">
        <v>0.0</v>
      </c>
      <c r="M88"/>
      <c r="N88"/>
      <c r="O88">
        <v>11.59</v>
      </c>
      <c r="P88">
        <v>0.0</v>
      </c>
      <c r="Q88">
        <v>76.0</v>
      </c>
      <c r="R88"/>
      <c r="S88"/>
      <c r="T88"/>
      <c r="U88"/>
      <c r="V88"/>
      <c r="W88">
        <v>18</v>
      </c>
    </row>
    <row r="89" spans="1:23">
      <c r="A89"/>
      <c r="B89" t="s">
        <v>81</v>
      </c>
      <c r="C89" t="s">
        <v>81</v>
      </c>
      <c r="D89" t="s">
        <v>33</v>
      </c>
      <c r="E89" t="s">
        <v>34</v>
      </c>
      <c r="F89" t="str">
        <f>"0008153"</f>
        <v>0008153</v>
      </c>
      <c r="G89">
        <v>6</v>
      </c>
      <c r="H89" t="str">
        <f>"20146796347"</f>
        <v>20146796347</v>
      </c>
      <c r="I89" t="s">
        <v>47</v>
      </c>
      <c r="J89"/>
      <c r="K89">
        <v>12.71</v>
      </c>
      <c r="L89">
        <v>0.0</v>
      </c>
      <c r="M89"/>
      <c r="N89"/>
      <c r="O89">
        <v>2.29</v>
      </c>
      <c r="P89">
        <v>0.0</v>
      </c>
      <c r="Q89">
        <v>15.0</v>
      </c>
      <c r="R89"/>
      <c r="S89"/>
      <c r="T89"/>
      <c r="U89"/>
      <c r="V89"/>
      <c r="W89">
        <v>18</v>
      </c>
    </row>
    <row r="90" spans="1:23">
      <c r="A90"/>
      <c r="B90" t="s">
        <v>81</v>
      </c>
      <c r="C90" t="s">
        <v>81</v>
      </c>
      <c r="D90" t="s">
        <v>37</v>
      </c>
      <c r="E90" t="s">
        <v>38</v>
      </c>
      <c r="F90" t="str">
        <f>"0000564"</f>
        <v>0000564</v>
      </c>
      <c r="G90">
        <v>6</v>
      </c>
      <c r="H90" t="str">
        <f>"20601716853"</f>
        <v>20601716853</v>
      </c>
      <c r="I90" t="s">
        <v>82</v>
      </c>
      <c r="J90"/>
      <c r="K90">
        <v>23.73</v>
      </c>
      <c r="L90">
        <v>0.0</v>
      </c>
      <c r="M90"/>
      <c r="N90"/>
      <c r="O90">
        <v>4.27</v>
      </c>
      <c r="P90">
        <v>0.0</v>
      </c>
      <c r="Q90">
        <v>28.0</v>
      </c>
      <c r="R90"/>
      <c r="S90"/>
      <c r="T90"/>
      <c r="U90"/>
      <c r="V90"/>
      <c r="W90">
        <v>18</v>
      </c>
    </row>
    <row r="91" spans="1:23">
      <c r="A91"/>
      <c r="B91" t="s">
        <v>83</v>
      </c>
      <c r="C91" t="s">
        <v>83</v>
      </c>
      <c r="D91" t="s">
        <v>33</v>
      </c>
      <c r="E91" t="s">
        <v>34</v>
      </c>
      <c r="F91" t="str">
        <f>"0008154"</f>
        <v>0008154</v>
      </c>
      <c r="G91">
        <v>6</v>
      </c>
      <c r="H91" t="str">
        <f>"20602050506"</f>
        <v>20602050506</v>
      </c>
      <c r="I91" t="s">
        <v>41</v>
      </c>
      <c r="J91"/>
      <c r="K91">
        <v>10.17</v>
      </c>
      <c r="L91">
        <v>0.0</v>
      </c>
      <c r="M91"/>
      <c r="N91"/>
      <c r="O91">
        <v>1.83</v>
      </c>
      <c r="P91">
        <v>0.0</v>
      </c>
      <c r="Q91">
        <v>12.0</v>
      </c>
      <c r="R91"/>
      <c r="S91"/>
      <c r="T91"/>
      <c r="U91"/>
      <c r="V91"/>
      <c r="W91">
        <v>18</v>
      </c>
    </row>
    <row r="92" spans="1:23">
      <c r="A92"/>
      <c r="B92" t="s">
        <v>83</v>
      </c>
      <c r="C92" t="s">
        <v>83</v>
      </c>
      <c r="D92" t="s">
        <v>33</v>
      </c>
      <c r="E92" t="s">
        <v>34</v>
      </c>
      <c r="F92" t="str">
        <f>"0008155"</f>
        <v>0008155</v>
      </c>
      <c r="G92">
        <v>6</v>
      </c>
      <c r="H92" t="str">
        <f>"20602050506"</f>
        <v>20602050506</v>
      </c>
      <c r="I92" t="s">
        <v>41</v>
      </c>
      <c r="J92"/>
      <c r="K92">
        <v>5.08</v>
      </c>
      <c r="L92">
        <v>0.0</v>
      </c>
      <c r="M92"/>
      <c r="N92"/>
      <c r="O92">
        <v>0.92</v>
      </c>
      <c r="P92">
        <v>0.0</v>
      </c>
      <c r="Q92">
        <v>6.0</v>
      </c>
      <c r="R92"/>
      <c r="S92"/>
      <c r="T92"/>
      <c r="U92"/>
      <c r="V92"/>
      <c r="W92">
        <v>18</v>
      </c>
    </row>
    <row r="93" spans="1:23">
      <c r="A93"/>
      <c r="B93" t="s">
        <v>83</v>
      </c>
      <c r="C93" t="s">
        <v>83</v>
      </c>
      <c r="D93" t="s">
        <v>33</v>
      </c>
      <c r="E93" t="s">
        <v>34</v>
      </c>
      <c r="F93" t="str">
        <f>"0008156"</f>
        <v>0008156</v>
      </c>
      <c r="G93">
        <v>6</v>
      </c>
      <c r="H93" t="str">
        <f>"20608473174"</f>
        <v>20608473174</v>
      </c>
      <c r="I93" t="s">
        <v>76</v>
      </c>
      <c r="J93"/>
      <c r="K93">
        <v>161.02</v>
      </c>
      <c r="L93">
        <v>0.0</v>
      </c>
      <c r="M93"/>
      <c r="N93"/>
      <c r="O93">
        <v>28.98</v>
      </c>
      <c r="P93">
        <v>0.0</v>
      </c>
      <c r="Q93">
        <v>190.0</v>
      </c>
      <c r="R93"/>
      <c r="S93"/>
      <c r="T93"/>
      <c r="U93"/>
      <c r="V93"/>
      <c r="W93">
        <v>18</v>
      </c>
    </row>
    <row r="94" spans="1:23">
      <c r="A94"/>
      <c r="B94" t="s">
        <v>83</v>
      </c>
      <c r="C94" t="s">
        <v>83</v>
      </c>
      <c r="D94" t="s">
        <v>33</v>
      </c>
      <c r="E94" t="s">
        <v>34</v>
      </c>
      <c r="F94" t="str">
        <f>"0008157"</f>
        <v>0008157</v>
      </c>
      <c r="G94">
        <v>1</v>
      </c>
      <c r="H94" t="str">
        <f>"42698744"</f>
        <v>42698744</v>
      </c>
      <c r="I94" t="s">
        <v>84</v>
      </c>
      <c r="J94"/>
      <c r="K94">
        <v>12.71</v>
      </c>
      <c r="L94">
        <v>0.0</v>
      </c>
      <c r="M94"/>
      <c r="N94"/>
      <c r="O94">
        <v>2.29</v>
      </c>
      <c r="P94">
        <v>0.0</v>
      </c>
      <c r="Q94">
        <v>15.0</v>
      </c>
      <c r="R94"/>
      <c r="S94"/>
      <c r="T94"/>
      <c r="U94"/>
      <c r="V94"/>
      <c r="W94">
        <v>18</v>
      </c>
    </row>
    <row r="95" spans="1:23">
      <c r="A95"/>
      <c r="B95" t="s">
        <v>83</v>
      </c>
      <c r="C95" t="s">
        <v>83</v>
      </c>
      <c r="D95" t="s">
        <v>33</v>
      </c>
      <c r="E95" t="s">
        <v>34</v>
      </c>
      <c r="F95" t="str">
        <f>"0008158"</f>
        <v>0008158</v>
      </c>
      <c r="G95">
        <v>1</v>
      </c>
      <c r="H95" t="str">
        <f>"00000001"</f>
        <v>00000001</v>
      </c>
      <c r="I95" t="s">
        <v>35</v>
      </c>
      <c r="J95"/>
      <c r="K95">
        <v>11.86</v>
      </c>
      <c r="L95">
        <v>0.0</v>
      </c>
      <c r="M95"/>
      <c r="N95"/>
      <c r="O95">
        <v>2.14</v>
      </c>
      <c r="P95">
        <v>0.0</v>
      </c>
      <c r="Q95">
        <v>14.0</v>
      </c>
      <c r="R95"/>
      <c r="S95"/>
      <c r="T95"/>
      <c r="U95"/>
      <c r="V95"/>
      <c r="W95">
        <v>18</v>
      </c>
    </row>
    <row r="96" spans="1:23">
      <c r="A96"/>
      <c r="B96" t="s">
        <v>83</v>
      </c>
      <c r="C96" t="s">
        <v>83</v>
      </c>
      <c r="D96" t="s">
        <v>33</v>
      </c>
      <c r="E96" t="s">
        <v>34</v>
      </c>
      <c r="F96" t="str">
        <f>"0008159"</f>
        <v>0008159</v>
      </c>
      <c r="G96">
        <v>1</v>
      </c>
      <c r="H96" t="str">
        <f>"000IEJVA"</f>
        <v>000IEJVA</v>
      </c>
      <c r="I96" t="s">
        <v>85</v>
      </c>
      <c r="J96"/>
      <c r="K96">
        <v>25.42</v>
      </c>
      <c r="L96">
        <v>0.0</v>
      </c>
      <c r="M96"/>
      <c r="N96"/>
      <c r="O96">
        <v>4.58</v>
      </c>
      <c r="P96">
        <v>0.0</v>
      </c>
      <c r="Q96">
        <v>30.0</v>
      </c>
      <c r="R96"/>
      <c r="S96"/>
      <c r="T96"/>
      <c r="U96"/>
      <c r="V96"/>
      <c r="W96">
        <v>18</v>
      </c>
    </row>
    <row r="97" spans="1:23">
      <c r="A97"/>
      <c r="B97" t="s">
        <v>83</v>
      </c>
      <c r="C97" t="s">
        <v>83</v>
      </c>
      <c r="D97" t="s">
        <v>37</v>
      </c>
      <c r="E97" t="s">
        <v>38</v>
      </c>
      <c r="F97" t="str">
        <f>"0000565"</f>
        <v>0000565</v>
      </c>
      <c r="G97">
        <v>6</v>
      </c>
      <c r="H97" t="str">
        <f>"20606259094"</f>
        <v>20606259094</v>
      </c>
      <c r="I97" t="s">
        <v>86</v>
      </c>
      <c r="J97"/>
      <c r="K97">
        <v>35.59</v>
      </c>
      <c r="L97">
        <v>0.0</v>
      </c>
      <c r="M97"/>
      <c r="N97"/>
      <c r="O97">
        <v>6.41</v>
      </c>
      <c r="P97">
        <v>0.0</v>
      </c>
      <c r="Q97">
        <v>42.0</v>
      </c>
      <c r="R97"/>
      <c r="S97"/>
      <c r="T97"/>
      <c r="U97"/>
      <c r="V97"/>
      <c r="W97">
        <v>18</v>
      </c>
    </row>
    <row r="98" spans="1:23">
      <c r="A98"/>
      <c r="B98" t="s">
        <v>83</v>
      </c>
      <c r="C98" t="s">
        <v>83</v>
      </c>
      <c r="D98" t="s">
        <v>33</v>
      </c>
      <c r="E98" t="s">
        <v>34</v>
      </c>
      <c r="F98" t="str">
        <f>"0008160"</f>
        <v>0008160</v>
      </c>
      <c r="G98">
        <v>6</v>
      </c>
      <c r="H98" t="str">
        <f>"20148260843"</f>
        <v>20148260843</v>
      </c>
      <c r="I98" t="s">
        <v>62</v>
      </c>
      <c r="J98"/>
      <c r="K98">
        <v>16.86</v>
      </c>
      <c r="L98">
        <v>0.0</v>
      </c>
      <c r="M98"/>
      <c r="N98"/>
      <c r="O98">
        <v>3.04</v>
      </c>
      <c r="P98">
        <v>0.0</v>
      </c>
      <c r="Q98">
        <v>19.9</v>
      </c>
      <c r="R98"/>
      <c r="S98"/>
      <c r="T98"/>
      <c r="U98"/>
      <c r="V98"/>
      <c r="W98">
        <v>18</v>
      </c>
    </row>
    <row r="99" spans="1:23">
      <c r="A99"/>
      <c r="B99" t="s">
        <v>83</v>
      </c>
      <c r="C99" t="s">
        <v>83</v>
      </c>
      <c r="D99" t="s">
        <v>33</v>
      </c>
      <c r="E99" t="s">
        <v>34</v>
      </c>
      <c r="F99" t="str">
        <f>"0008161"</f>
        <v>0008161</v>
      </c>
      <c r="G99">
        <v>6</v>
      </c>
      <c r="H99" t="str">
        <f>"20601049229"</f>
        <v>20601049229</v>
      </c>
      <c r="I99" t="s">
        <v>87</v>
      </c>
      <c r="J99"/>
      <c r="K99">
        <v>50.85</v>
      </c>
      <c r="L99">
        <v>0.0</v>
      </c>
      <c r="M99"/>
      <c r="N99"/>
      <c r="O99">
        <v>9.15</v>
      </c>
      <c r="P99">
        <v>0.0</v>
      </c>
      <c r="Q99">
        <v>60.0</v>
      </c>
      <c r="R99"/>
      <c r="S99"/>
      <c r="T99"/>
      <c r="U99"/>
      <c r="V99"/>
      <c r="W99">
        <v>18</v>
      </c>
    </row>
    <row r="100" spans="1:23">
      <c r="A100"/>
      <c r="B100" t="s">
        <v>88</v>
      </c>
      <c r="C100" t="s">
        <v>88</v>
      </c>
      <c r="D100" t="s">
        <v>33</v>
      </c>
      <c r="E100" t="s">
        <v>34</v>
      </c>
      <c r="F100" t="str">
        <f>"0008162"</f>
        <v>0008162</v>
      </c>
      <c r="G100">
        <v>1</v>
      </c>
      <c r="H100" t="str">
        <f>"70658712"</f>
        <v>70658712</v>
      </c>
      <c r="I100" t="s">
        <v>45</v>
      </c>
      <c r="J100"/>
      <c r="K100">
        <v>27.12</v>
      </c>
      <c r="L100">
        <v>0.0</v>
      </c>
      <c r="M100"/>
      <c r="N100"/>
      <c r="O100">
        <v>4.88</v>
      </c>
      <c r="P100">
        <v>0.0</v>
      </c>
      <c r="Q100">
        <v>32.0</v>
      </c>
      <c r="R100"/>
      <c r="S100"/>
      <c r="T100"/>
      <c r="U100"/>
      <c r="V100"/>
      <c r="W100">
        <v>18</v>
      </c>
    </row>
    <row r="101" spans="1:23">
      <c r="A101"/>
      <c r="B101" t="s">
        <v>88</v>
      </c>
      <c r="C101" t="s">
        <v>88</v>
      </c>
      <c r="D101" t="s">
        <v>33</v>
      </c>
      <c r="E101" t="s">
        <v>34</v>
      </c>
      <c r="F101" t="str">
        <f>"0008163"</f>
        <v>0008163</v>
      </c>
      <c r="G101">
        <v>1</v>
      </c>
      <c r="H101" t="str">
        <f>"00000001"</f>
        <v>00000001</v>
      </c>
      <c r="I101" t="s">
        <v>35</v>
      </c>
      <c r="J101"/>
      <c r="K101">
        <v>25.42</v>
      </c>
      <c r="L101">
        <v>0.0</v>
      </c>
      <c r="M101"/>
      <c r="N101"/>
      <c r="O101">
        <v>4.58</v>
      </c>
      <c r="P101">
        <v>0.0</v>
      </c>
      <c r="Q101">
        <v>30.0</v>
      </c>
      <c r="R101"/>
      <c r="S101"/>
      <c r="T101"/>
      <c r="U101"/>
      <c r="V101"/>
      <c r="W101">
        <v>18</v>
      </c>
    </row>
    <row r="102" spans="1:23">
      <c r="A102"/>
      <c r="B102" t="s">
        <v>88</v>
      </c>
      <c r="C102" t="s">
        <v>88</v>
      </c>
      <c r="D102" t="s">
        <v>33</v>
      </c>
      <c r="E102" t="s">
        <v>34</v>
      </c>
      <c r="F102" t="str">
        <f>"0008164"</f>
        <v>0008164</v>
      </c>
      <c r="G102">
        <v>1</v>
      </c>
      <c r="H102" t="str">
        <f>"0000CSVC"</f>
        <v>0000CSVC</v>
      </c>
      <c r="I102" t="s">
        <v>58</v>
      </c>
      <c r="J102"/>
      <c r="K102">
        <v>16.95</v>
      </c>
      <c r="L102">
        <v>0.0</v>
      </c>
      <c r="M102"/>
      <c r="N102"/>
      <c r="O102">
        <v>3.05</v>
      </c>
      <c r="P102">
        <v>0.0</v>
      </c>
      <c r="Q102">
        <v>20.0</v>
      </c>
      <c r="R102"/>
      <c r="S102"/>
      <c r="T102"/>
      <c r="U102"/>
      <c r="V102"/>
      <c r="W102">
        <v>18</v>
      </c>
    </row>
    <row r="103" spans="1:23">
      <c r="A103"/>
      <c r="B103" t="s">
        <v>88</v>
      </c>
      <c r="C103" t="s">
        <v>88</v>
      </c>
      <c r="D103" t="s">
        <v>33</v>
      </c>
      <c r="E103" t="s">
        <v>34</v>
      </c>
      <c r="F103" t="str">
        <f>"0008165"</f>
        <v>0008165</v>
      </c>
      <c r="G103">
        <v>1</v>
      </c>
      <c r="H103" t="str">
        <f>"00000001"</f>
        <v>00000001</v>
      </c>
      <c r="I103" t="s">
        <v>35</v>
      </c>
      <c r="J103"/>
      <c r="K103">
        <v>25.42</v>
      </c>
      <c r="L103">
        <v>0.0</v>
      </c>
      <c r="M103"/>
      <c r="N103"/>
      <c r="O103">
        <v>4.58</v>
      </c>
      <c r="P103">
        <v>0.0</v>
      </c>
      <c r="Q103">
        <v>30.0</v>
      </c>
      <c r="R103"/>
      <c r="S103"/>
      <c r="T103"/>
      <c r="U103"/>
      <c r="V103"/>
      <c r="W103">
        <v>18</v>
      </c>
    </row>
    <row r="104" spans="1:23">
      <c r="A104"/>
      <c r="B104" t="s">
        <v>88</v>
      </c>
      <c r="C104" t="s">
        <v>88</v>
      </c>
      <c r="D104" t="s">
        <v>33</v>
      </c>
      <c r="E104" t="s">
        <v>34</v>
      </c>
      <c r="F104" t="str">
        <f>"0008166"</f>
        <v>0008166</v>
      </c>
      <c r="G104">
        <v>1</v>
      </c>
      <c r="H104" t="str">
        <f>"00000001"</f>
        <v>00000001</v>
      </c>
      <c r="I104" t="s">
        <v>35</v>
      </c>
      <c r="J104"/>
      <c r="K104">
        <v>30.51</v>
      </c>
      <c r="L104">
        <v>0.0</v>
      </c>
      <c r="M104"/>
      <c r="N104"/>
      <c r="O104">
        <v>5.49</v>
      </c>
      <c r="P104">
        <v>0.0</v>
      </c>
      <c r="Q104">
        <v>36.0</v>
      </c>
      <c r="R104"/>
      <c r="S104"/>
      <c r="T104"/>
      <c r="U104"/>
      <c r="V104"/>
      <c r="W104">
        <v>18</v>
      </c>
    </row>
    <row r="105" spans="1:23">
      <c r="A105"/>
      <c r="B105" t="s">
        <v>88</v>
      </c>
      <c r="C105" t="s">
        <v>88</v>
      </c>
      <c r="D105" t="s">
        <v>33</v>
      </c>
      <c r="E105" t="s">
        <v>34</v>
      </c>
      <c r="F105" t="str">
        <f>"0008167"</f>
        <v>0008167</v>
      </c>
      <c r="G105">
        <v>1</v>
      </c>
      <c r="H105" t="str">
        <f>"00000001"</f>
        <v>00000001</v>
      </c>
      <c r="I105" t="s">
        <v>35</v>
      </c>
      <c r="J105"/>
      <c r="K105">
        <v>8.47</v>
      </c>
      <c r="L105">
        <v>0.0</v>
      </c>
      <c r="M105"/>
      <c r="N105"/>
      <c r="O105">
        <v>1.53</v>
      </c>
      <c r="P105">
        <v>0.0</v>
      </c>
      <c r="Q105">
        <v>10.0</v>
      </c>
      <c r="R105"/>
      <c r="S105"/>
      <c r="T105"/>
      <c r="U105"/>
      <c r="V105"/>
      <c r="W105">
        <v>18</v>
      </c>
    </row>
    <row r="106" spans="1:23">
      <c r="A106"/>
      <c r="B106" t="s">
        <v>88</v>
      </c>
      <c r="C106" t="s">
        <v>88</v>
      </c>
      <c r="D106" t="s">
        <v>33</v>
      </c>
      <c r="E106" t="s">
        <v>34</v>
      </c>
      <c r="F106" t="str">
        <f>"0008168"</f>
        <v>0008168</v>
      </c>
      <c r="G106">
        <v>1</v>
      </c>
      <c r="H106" t="str">
        <f>"00000001"</f>
        <v>00000001</v>
      </c>
      <c r="I106" t="s">
        <v>35</v>
      </c>
      <c r="J106"/>
      <c r="K106">
        <v>16.95</v>
      </c>
      <c r="L106">
        <v>0.0</v>
      </c>
      <c r="M106"/>
      <c r="N106"/>
      <c r="O106">
        <v>3.05</v>
      </c>
      <c r="P106">
        <v>0.0</v>
      </c>
      <c r="Q106">
        <v>20.0</v>
      </c>
      <c r="R106"/>
      <c r="S106"/>
      <c r="T106"/>
      <c r="U106"/>
      <c r="V106"/>
      <c r="W106">
        <v>18</v>
      </c>
    </row>
    <row r="107" spans="1:23">
      <c r="A107"/>
      <c r="B107" t="s">
        <v>89</v>
      </c>
      <c r="C107" t="s">
        <v>89</v>
      </c>
      <c r="D107" t="s">
        <v>33</v>
      </c>
      <c r="E107" t="s">
        <v>34</v>
      </c>
      <c r="F107" t="str">
        <f>"0008169"</f>
        <v>0008169</v>
      </c>
      <c r="G107">
        <v>1</v>
      </c>
      <c r="H107" t="str">
        <f>"0000CSVC"</f>
        <v>0000CSVC</v>
      </c>
      <c r="I107" t="s">
        <v>58</v>
      </c>
      <c r="J107"/>
      <c r="K107">
        <v>16.53</v>
      </c>
      <c r="L107">
        <v>0.0</v>
      </c>
      <c r="M107"/>
      <c r="N107"/>
      <c r="O107">
        <v>2.97</v>
      </c>
      <c r="P107">
        <v>0.0</v>
      </c>
      <c r="Q107">
        <v>19.5</v>
      </c>
      <c r="R107"/>
      <c r="S107"/>
      <c r="T107"/>
      <c r="U107"/>
      <c r="V107"/>
      <c r="W107">
        <v>18</v>
      </c>
    </row>
    <row r="108" spans="1:23">
      <c r="A108"/>
      <c r="B108" t="s">
        <v>89</v>
      </c>
      <c r="C108" t="s">
        <v>89</v>
      </c>
      <c r="D108" t="s">
        <v>33</v>
      </c>
      <c r="E108" t="s">
        <v>34</v>
      </c>
      <c r="F108" t="str">
        <f>"0008170"</f>
        <v>0008170</v>
      </c>
      <c r="G108">
        <v>1</v>
      </c>
      <c r="H108" t="str">
        <f>"00000001"</f>
        <v>00000001</v>
      </c>
      <c r="I108" t="s">
        <v>35</v>
      </c>
      <c r="J108"/>
      <c r="K108">
        <v>18.64</v>
      </c>
      <c r="L108">
        <v>0.0</v>
      </c>
      <c r="M108"/>
      <c r="N108"/>
      <c r="O108">
        <v>3.36</v>
      </c>
      <c r="P108">
        <v>0.0</v>
      </c>
      <c r="Q108">
        <v>22.0</v>
      </c>
      <c r="R108"/>
      <c r="S108"/>
      <c r="T108"/>
      <c r="U108"/>
      <c r="V108"/>
      <c r="W108">
        <v>18</v>
      </c>
    </row>
    <row r="109" spans="1:23">
      <c r="A109"/>
      <c r="B109" t="s">
        <v>89</v>
      </c>
      <c r="C109" t="s">
        <v>89</v>
      </c>
      <c r="D109" t="s">
        <v>33</v>
      </c>
      <c r="E109" t="s">
        <v>34</v>
      </c>
      <c r="F109" t="str">
        <f>"0008171"</f>
        <v>0008171</v>
      </c>
      <c r="G109">
        <v>1</v>
      </c>
      <c r="H109" t="str">
        <f>"0000CSVC"</f>
        <v>0000CSVC</v>
      </c>
      <c r="I109" t="s">
        <v>58</v>
      </c>
      <c r="J109"/>
      <c r="K109">
        <v>2.54</v>
      </c>
      <c r="L109">
        <v>0.0</v>
      </c>
      <c r="M109"/>
      <c r="N109"/>
      <c r="O109">
        <v>0.46</v>
      </c>
      <c r="P109">
        <v>0.0</v>
      </c>
      <c r="Q109">
        <v>3.0</v>
      </c>
      <c r="R109"/>
      <c r="S109"/>
      <c r="T109"/>
      <c r="U109"/>
      <c r="V109"/>
      <c r="W109">
        <v>18</v>
      </c>
    </row>
    <row r="110" spans="1:23">
      <c r="A110"/>
      <c r="B110" t="s">
        <v>89</v>
      </c>
      <c r="C110" t="s">
        <v>89</v>
      </c>
      <c r="D110" t="s">
        <v>33</v>
      </c>
      <c r="E110" t="s">
        <v>34</v>
      </c>
      <c r="F110" t="str">
        <f>"0008172"</f>
        <v>0008172</v>
      </c>
      <c r="G110">
        <v>1</v>
      </c>
      <c r="H110" t="str">
        <f>"00IENSDL"</f>
        <v>00IENSDL</v>
      </c>
      <c r="I110" t="s">
        <v>90</v>
      </c>
      <c r="J110"/>
      <c r="K110">
        <v>43.22</v>
      </c>
      <c r="L110">
        <v>0.0</v>
      </c>
      <c r="M110"/>
      <c r="N110"/>
      <c r="O110">
        <v>7.78</v>
      </c>
      <c r="P110">
        <v>0.0</v>
      </c>
      <c r="Q110">
        <v>51.0</v>
      </c>
      <c r="R110"/>
      <c r="S110"/>
      <c r="T110"/>
      <c r="U110"/>
      <c r="V110"/>
      <c r="W110">
        <v>18</v>
      </c>
    </row>
    <row r="111" spans="1:23">
      <c r="A111"/>
      <c r="B111" t="s">
        <v>89</v>
      </c>
      <c r="C111" t="s">
        <v>89</v>
      </c>
      <c r="D111" t="s">
        <v>37</v>
      </c>
      <c r="E111" t="s">
        <v>38</v>
      </c>
      <c r="F111" t="str">
        <f>"0000566"</f>
        <v>0000566</v>
      </c>
      <c r="G111">
        <v>6</v>
      </c>
      <c r="H111" t="str">
        <f>"20147739835"</f>
        <v>20147739835</v>
      </c>
      <c r="I111" t="s">
        <v>52</v>
      </c>
      <c r="J111"/>
      <c r="K111">
        <v>10.17</v>
      </c>
      <c r="L111">
        <v>0.0</v>
      </c>
      <c r="M111"/>
      <c r="N111"/>
      <c r="O111">
        <v>1.83</v>
      </c>
      <c r="P111">
        <v>0.0</v>
      </c>
      <c r="Q111">
        <v>12.0</v>
      </c>
      <c r="R111"/>
      <c r="S111"/>
      <c r="T111"/>
      <c r="U111"/>
      <c r="V111"/>
      <c r="W111">
        <v>18</v>
      </c>
    </row>
    <row r="112" spans="1:23">
      <c r="A112"/>
      <c r="B112" t="s">
        <v>89</v>
      </c>
      <c r="C112" t="s">
        <v>89</v>
      </c>
      <c r="D112" t="s">
        <v>33</v>
      </c>
      <c r="E112" t="s">
        <v>34</v>
      </c>
      <c r="F112" t="str">
        <f>"0008173"</f>
        <v>0008173</v>
      </c>
      <c r="G112">
        <v>1</v>
      </c>
      <c r="H112" t="str">
        <f>"00000001"</f>
        <v>00000001</v>
      </c>
      <c r="I112" t="s">
        <v>35</v>
      </c>
      <c r="J112"/>
      <c r="K112">
        <v>38.14</v>
      </c>
      <c r="L112">
        <v>0.0</v>
      </c>
      <c r="M112"/>
      <c r="N112"/>
      <c r="O112">
        <v>6.86</v>
      </c>
      <c r="P112">
        <v>0.0</v>
      </c>
      <c r="Q112">
        <v>45.0</v>
      </c>
      <c r="R112"/>
      <c r="S112"/>
      <c r="T112"/>
      <c r="U112"/>
      <c r="V112"/>
      <c r="W112">
        <v>18</v>
      </c>
    </row>
    <row r="113" spans="1:23">
      <c r="A113"/>
      <c r="B113" t="s">
        <v>89</v>
      </c>
      <c r="C113" t="s">
        <v>89</v>
      </c>
      <c r="D113" t="s">
        <v>33</v>
      </c>
      <c r="E113" t="s">
        <v>34</v>
      </c>
      <c r="F113" t="str">
        <f>"0008174"</f>
        <v>0008174</v>
      </c>
      <c r="G113">
        <v>1</v>
      </c>
      <c r="H113" t="str">
        <f>"00000001"</f>
        <v>00000001</v>
      </c>
      <c r="I113" t="s">
        <v>35</v>
      </c>
      <c r="J113"/>
      <c r="K113">
        <v>20.34</v>
      </c>
      <c r="L113">
        <v>0.0</v>
      </c>
      <c r="M113"/>
      <c r="N113"/>
      <c r="O113">
        <v>3.66</v>
      </c>
      <c r="P113">
        <v>0.0</v>
      </c>
      <c r="Q113">
        <v>24.0</v>
      </c>
      <c r="R113"/>
      <c r="S113"/>
      <c r="T113"/>
      <c r="U113"/>
      <c r="V113"/>
      <c r="W113">
        <v>18</v>
      </c>
    </row>
    <row r="114" spans="1:23">
      <c r="A114"/>
      <c r="B114" t="s">
        <v>91</v>
      </c>
      <c r="C114" t="s">
        <v>91</v>
      </c>
      <c r="D114" t="s">
        <v>33</v>
      </c>
      <c r="E114" t="s">
        <v>34</v>
      </c>
      <c r="F114" t="str">
        <f>"0008175"</f>
        <v>0008175</v>
      </c>
      <c r="G114">
        <v>1</v>
      </c>
      <c r="H114" t="str">
        <f>"00000001"</f>
        <v>00000001</v>
      </c>
      <c r="I114" t="s">
        <v>35</v>
      </c>
      <c r="J114"/>
      <c r="K114">
        <v>63.56</v>
      </c>
      <c r="L114">
        <v>0.0</v>
      </c>
      <c r="M114"/>
      <c r="N114"/>
      <c r="O114">
        <v>11.44</v>
      </c>
      <c r="P114">
        <v>0.0</v>
      </c>
      <c r="Q114">
        <v>75.0</v>
      </c>
      <c r="R114"/>
      <c r="S114"/>
      <c r="T114"/>
      <c r="U114"/>
      <c r="V114"/>
      <c r="W114">
        <v>18</v>
      </c>
    </row>
    <row r="115" spans="1:23">
      <c r="A115"/>
      <c r="B115" t="s">
        <v>91</v>
      </c>
      <c r="C115" t="s">
        <v>91</v>
      </c>
      <c r="D115" t="s">
        <v>33</v>
      </c>
      <c r="E115" t="s">
        <v>34</v>
      </c>
      <c r="F115" t="str">
        <f>"0008176"</f>
        <v>0008176</v>
      </c>
      <c r="G115">
        <v>1</v>
      </c>
      <c r="H115" t="str">
        <f>"00000001"</f>
        <v>00000001</v>
      </c>
      <c r="I115" t="s">
        <v>35</v>
      </c>
      <c r="J115"/>
      <c r="K115">
        <v>40.68</v>
      </c>
      <c r="L115">
        <v>0.0</v>
      </c>
      <c r="M115"/>
      <c r="N115"/>
      <c r="O115">
        <v>7.32</v>
      </c>
      <c r="P115">
        <v>0.0</v>
      </c>
      <c r="Q115">
        <v>48.0</v>
      </c>
      <c r="R115"/>
      <c r="S115"/>
      <c r="T115"/>
      <c r="U115"/>
      <c r="V115"/>
      <c r="W115">
        <v>18</v>
      </c>
    </row>
    <row r="116" spans="1:23">
      <c r="A116"/>
      <c r="B116" t="s">
        <v>91</v>
      </c>
      <c r="C116" t="s">
        <v>91</v>
      </c>
      <c r="D116" t="s">
        <v>33</v>
      </c>
      <c r="E116" t="s">
        <v>34</v>
      </c>
      <c r="F116" t="str">
        <f>"0008177"</f>
        <v>0008177</v>
      </c>
      <c r="G116">
        <v>1</v>
      </c>
      <c r="H116" t="str">
        <f>"00000001"</f>
        <v>00000001</v>
      </c>
      <c r="I116" t="s">
        <v>35</v>
      </c>
      <c r="J116"/>
      <c r="K116">
        <v>13.56</v>
      </c>
      <c r="L116">
        <v>0.0</v>
      </c>
      <c r="M116"/>
      <c r="N116"/>
      <c r="O116">
        <v>2.44</v>
      </c>
      <c r="P116">
        <v>0.0</v>
      </c>
      <c r="Q116">
        <v>16.0</v>
      </c>
      <c r="R116"/>
      <c r="S116"/>
      <c r="T116"/>
      <c r="U116"/>
      <c r="V116"/>
      <c r="W116">
        <v>18</v>
      </c>
    </row>
    <row r="117" spans="1:23">
      <c r="A117"/>
      <c r="B117" t="s">
        <v>91</v>
      </c>
      <c r="C117" t="s">
        <v>91</v>
      </c>
      <c r="D117" t="s">
        <v>33</v>
      </c>
      <c r="E117" t="s">
        <v>34</v>
      </c>
      <c r="F117" t="str">
        <f>"0008178"</f>
        <v>0008178</v>
      </c>
      <c r="G117">
        <v>1</v>
      </c>
      <c r="H117" t="str">
        <f>"0000PROM"</f>
        <v>0000PROM</v>
      </c>
      <c r="I117" t="s">
        <v>92</v>
      </c>
      <c r="J117"/>
      <c r="K117">
        <v>20.34</v>
      </c>
      <c r="L117">
        <v>0.0</v>
      </c>
      <c r="M117"/>
      <c r="N117"/>
      <c r="O117">
        <v>3.66</v>
      </c>
      <c r="P117">
        <v>0.0</v>
      </c>
      <c r="Q117">
        <v>24.0</v>
      </c>
      <c r="R117"/>
      <c r="S117"/>
      <c r="T117"/>
      <c r="U117"/>
      <c r="V117"/>
      <c r="W117">
        <v>18</v>
      </c>
    </row>
    <row r="118" spans="1:23">
      <c r="A118"/>
      <c r="B118" t="s">
        <v>91</v>
      </c>
      <c r="C118" t="s">
        <v>91</v>
      </c>
      <c r="D118" t="s">
        <v>33</v>
      </c>
      <c r="E118" t="s">
        <v>34</v>
      </c>
      <c r="F118" t="str">
        <f>"0008179"</f>
        <v>0008179</v>
      </c>
      <c r="G118">
        <v>1</v>
      </c>
      <c r="H118" t="str">
        <f>"00000001"</f>
        <v>00000001</v>
      </c>
      <c r="I118" t="s">
        <v>35</v>
      </c>
      <c r="J118"/>
      <c r="K118">
        <v>16.95</v>
      </c>
      <c r="L118">
        <v>0.0</v>
      </c>
      <c r="M118"/>
      <c r="N118"/>
      <c r="O118">
        <v>3.05</v>
      </c>
      <c r="P118">
        <v>0.0</v>
      </c>
      <c r="Q118">
        <v>20.0</v>
      </c>
      <c r="R118"/>
      <c r="S118"/>
      <c r="T118"/>
      <c r="U118"/>
      <c r="V118"/>
      <c r="W118">
        <v>18</v>
      </c>
    </row>
    <row r="119" spans="1:23">
      <c r="A119"/>
      <c r="B119" t="s">
        <v>91</v>
      </c>
      <c r="C119" t="s">
        <v>91</v>
      </c>
      <c r="D119" t="s">
        <v>33</v>
      </c>
      <c r="E119" t="s">
        <v>34</v>
      </c>
      <c r="F119" t="str">
        <f>"0008180"</f>
        <v>0008180</v>
      </c>
      <c r="G119">
        <v>1</v>
      </c>
      <c r="H119" t="str">
        <f>"00000001"</f>
        <v>00000001</v>
      </c>
      <c r="I119" t="s">
        <v>35</v>
      </c>
      <c r="J119"/>
      <c r="K119">
        <v>25.42</v>
      </c>
      <c r="L119">
        <v>0.0</v>
      </c>
      <c r="M119"/>
      <c r="N119"/>
      <c r="O119">
        <v>4.58</v>
      </c>
      <c r="P119">
        <v>0.0</v>
      </c>
      <c r="Q119">
        <v>30.0</v>
      </c>
      <c r="R119"/>
      <c r="S119"/>
      <c r="T119"/>
      <c r="U119"/>
      <c r="V119"/>
      <c r="W119">
        <v>18</v>
      </c>
    </row>
    <row r="120" spans="1:23">
      <c r="A120"/>
      <c r="B120" t="s">
        <v>91</v>
      </c>
      <c r="C120" t="s">
        <v>91</v>
      </c>
      <c r="D120" t="s">
        <v>33</v>
      </c>
      <c r="E120" t="s">
        <v>34</v>
      </c>
      <c r="F120" t="str">
        <f>"0008181"</f>
        <v>0008181</v>
      </c>
      <c r="G120">
        <v>1</v>
      </c>
      <c r="H120" t="str">
        <f>"00000001"</f>
        <v>00000001</v>
      </c>
      <c r="I120" t="s">
        <v>35</v>
      </c>
      <c r="J120"/>
      <c r="K120">
        <v>30.51</v>
      </c>
      <c r="L120">
        <v>0.0</v>
      </c>
      <c r="M120"/>
      <c r="N120"/>
      <c r="O120">
        <v>5.49</v>
      </c>
      <c r="P120">
        <v>0.0</v>
      </c>
      <c r="Q120">
        <v>36.0</v>
      </c>
      <c r="R120"/>
      <c r="S120"/>
      <c r="T120"/>
      <c r="U120"/>
      <c r="V120"/>
      <c r="W120">
        <v>18</v>
      </c>
    </row>
    <row r="121" spans="1:23">
      <c r="A121"/>
      <c r="B121" t="s">
        <v>91</v>
      </c>
      <c r="C121" t="s">
        <v>91</v>
      </c>
      <c r="D121" t="s">
        <v>33</v>
      </c>
      <c r="E121" t="s">
        <v>34</v>
      </c>
      <c r="F121" t="str">
        <f>"0008182"</f>
        <v>0008182</v>
      </c>
      <c r="G121">
        <v>1</v>
      </c>
      <c r="H121" t="str">
        <f>"00000001"</f>
        <v>00000001</v>
      </c>
      <c r="I121" t="s">
        <v>35</v>
      </c>
      <c r="J121"/>
      <c r="K121">
        <v>12.71</v>
      </c>
      <c r="L121">
        <v>0.0</v>
      </c>
      <c r="M121"/>
      <c r="N121"/>
      <c r="O121">
        <v>2.29</v>
      </c>
      <c r="P121">
        <v>0.0</v>
      </c>
      <c r="Q121">
        <v>15.0</v>
      </c>
      <c r="R121"/>
      <c r="S121"/>
      <c r="T121"/>
      <c r="U121"/>
      <c r="V121"/>
      <c r="W121">
        <v>18</v>
      </c>
    </row>
    <row r="122" spans="1:23">
      <c r="A122"/>
      <c r="B122" t="s">
        <v>91</v>
      </c>
      <c r="C122" t="s">
        <v>91</v>
      </c>
      <c r="D122" t="s">
        <v>33</v>
      </c>
      <c r="E122" t="s">
        <v>34</v>
      </c>
      <c r="F122" t="str">
        <f>"0008183"</f>
        <v>0008183</v>
      </c>
      <c r="G122">
        <v>1</v>
      </c>
      <c r="H122" t="str">
        <f>"00000001"</f>
        <v>00000001</v>
      </c>
      <c r="I122" t="s">
        <v>35</v>
      </c>
      <c r="J122"/>
      <c r="K122">
        <v>8.47</v>
      </c>
      <c r="L122">
        <v>0.0</v>
      </c>
      <c r="M122"/>
      <c r="N122"/>
      <c r="O122">
        <v>1.53</v>
      </c>
      <c r="P122">
        <v>0.0</v>
      </c>
      <c r="Q122">
        <v>10.0</v>
      </c>
      <c r="R122"/>
      <c r="S122"/>
      <c r="T122"/>
      <c r="U122"/>
      <c r="V122"/>
      <c r="W122">
        <v>18</v>
      </c>
    </row>
    <row r="123" spans="1:23">
      <c r="A123"/>
      <c r="B123" t="s">
        <v>91</v>
      </c>
      <c r="C123" t="s">
        <v>91</v>
      </c>
      <c r="D123" t="s">
        <v>33</v>
      </c>
      <c r="E123" t="s">
        <v>34</v>
      </c>
      <c r="F123" t="str">
        <f>"0008184"</f>
        <v>0008184</v>
      </c>
      <c r="G123">
        <v>1</v>
      </c>
      <c r="H123" t="str">
        <f>"00000001"</f>
        <v>00000001</v>
      </c>
      <c r="I123" t="s">
        <v>35</v>
      </c>
      <c r="J123"/>
      <c r="K123">
        <v>13.98</v>
      </c>
      <c r="L123">
        <v>0.0</v>
      </c>
      <c r="M123"/>
      <c r="N123"/>
      <c r="O123">
        <v>2.52</v>
      </c>
      <c r="P123">
        <v>0.0</v>
      </c>
      <c r="Q123">
        <v>16.5</v>
      </c>
      <c r="R123"/>
      <c r="S123"/>
      <c r="T123"/>
      <c r="U123"/>
      <c r="V123"/>
      <c r="W123">
        <v>18</v>
      </c>
    </row>
    <row r="124" spans="1:23">
      <c r="A124"/>
      <c r="B124" t="s">
        <v>91</v>
      </c>
      <c r="C124" t="s">
        <v>91</v>
      </c>
      <c r="D124" t="s">
        <v>37</v>
      </c>
      <c r="E124" t="s">
        <v>38</v>
      </c>
      <c r="F124" t="str">
        <f>"0000567"</f>
        <v>0000567</v>
      </c>
      <c r="G124">
        <v>6</v>
      </c>
      <c r="H124" t="str">
        <f>"20602050506"</f>
        <v>20602050506</v>
      </c>
      <c r="I124" t="s">
        <v>41</v>
      </c>
      <c r="J124"/>
      <c r="K124">
        <v>5.08</v>
      </c>
      <c r="L124">
        <v>0.0</v>
      </c>
      <c r="M124"/>
      <c r="N124"/>
      <c r="O124">
        <v>0.92</v>
      </c>
      <c r="P124">
        <v>0.0</v>
      </c>
      <c r="Q124">
        <v>6.0</v>
      </c>
      <c r="R124"/>
      <c r="S124"/>
      <c r="T124"/>
      <c r="U124"/>
      <c r="V124"/>
      <c r="W124">
        <v>18</v>
      </c>
    </row>
    <row r="125" spans="1:23">
      <c r="A125"/>
      <c r="B125" t="s">
        <v>91</v>
      </c>
      <c r="C125" t="s">
        <v>91</v>
      </c>
      <c r="D125" t="s">
        <v>37</v>
      </c>
      <c r="E125" t="s">
        <v>38</v>
      </c>
      <c r="F125" t="str">
        <f>"0000568"</f>
        <v>0000568</v>
      </c>
      <c r="G125">
        <v>6</v>
      </c>
      <c r="H125" t="str">
        <f>"20103030791"</f>
        <v>20103030791</v>
      </c>
      <c r="I125" t="s">
        <v>93</v>
      </c>
      <c r="J125"/>
      <c r="K125">
        <v>446.19</v>
      </c>
      <c r="L125">
        <v>0.0</v>
      </c>
      <c r="M125"/>
      <c r="N125"/>
      <c r="O125">
        <v>80.31</v>
      </c>
      <c r="P125">
        <v>0.0</v>
      </c>
      <c r="Q125">
        <v>526.5</v>
      </c>
      <c r="R125"/>
      <c r="S125"/>
      <c r="T125"/>
      <c r="U125"/>
      <c r="V125"/>
      <c r="W125">
        <v>18</v>
      </c>
    </row>
    <row r="126" spans="1:23">
      <c r="A126"/>
      <c r="B126" t="s">
        <v>94</v>
      </c>
      <c r="C126" t="s">
        <v>94</v>
      </c>
      <c r="D126" t="s">
        <v>33</v>
      </c>
      <c r="E126" t="s">
        <v>34</v>
      </c>
      <c r="F126" t="str">
        <f>"0008185"</f>
        <v>0008185</v>
      </c>
      <c r="G126">
        <v>1</v>
      </c>
      <c r="H126" t="str">
        <f>"0000CDSM"</f>
        <v>0000CDSM</v>
      </c>
      <c r="I126" t="s">
        <v>95</v>
      </c>
      <c r="J126"/>
      <c r="K126">
        <v>59.75</v>
      </c>
      <c r="L126">
        <v>0.0</v>
      </c>
      <c r="M126"/>
      <c r="N126"/>
      <c r="O126">
        <v>10.75</v>
      </c>
      <c r="P126">
        <v>0.0</v>
      </c>
      <c r="Q126">
        <v>70.5</v>
      </c>
      <c r="R126"/>
      <c r="S126"/>
      <c r="T126"/>
      <c r="U126"/>
      <c r="V126"/>
      <c r="W126">
        <v>18</v>
      </c>
    </row>
    <row r="127" spans="1:23">
      <c r="A127"/>
      <c r="B127" t="s">
        <v>94</v>
      </c>
      <c r="C127" t="s">
        <v>94</v>
      </c>
      <c r="D127" t="s">
        <v>33</v>
      </c>
      <c r="E127" t="s">
        <v>34</v>
      </c>
      <c r="F127" t="str">
        <f>"0008186"</f>
        <v>0008186</v>
      </c>
      <c r="G127">
        <v>1</v>
      </c>
      <c r="H127" t="str">
        <f>"0000AVSA"</f>
        <v>0000AVSA</v>
      </c>
      <c r="I127" t="s">
        <v>79</v>
      </c>
      <c r="J127"/>
      <c r="K127">
        <v>124.58</v>
      </c>
      <c r="L127">
        <v>0.0</v>
      </c>
      <c r="M127"/>
      <c r="N127"/>
      <c r="O127">
        <v>22.42</v>
      </c>
      <c r="P127">
        <v>0.0</v>
      </c>
      <c r="Q127">
        <v>147.0</v>
      </c>
      <c r="R127"/>
      <c r="S127"/>
      <c r="T127"/>
      <c r="U127"/>
      <c r="V127"/>
      <c r="W127">
        <v>18</v>
      </c>
    </row>
    <row r="128" spans="1:23">
      <c r="A128"/>
      <c r="B128" t="s">
        <v>94</v>
      </c>
      <c r="C128" t="s">
        <v>94</v>
      </c>
      <c r="D128" t="s">
        <v>33</v>
      </c>
      <c r="E128" t="s">
        <v>34</v>
      </c>
      <c r="F128" t="str">
        <f>"0008187"</f>
        <v>0008187</v>
      </c>
      <c r="G128">
        <v>1</v>
      </c>
      <c r="H128" t="str">
        <f>"00000001"</f>
        <v>00000001</v>
      </c>
      <c r="I128" t="s">
        <v>35</v>
      </c>
      <c r="J128"/>
      <c r="K128">
        <v>10.17</v>
      </c>
      <c r="L128">
        <v>0.0</v>
      </c>
      <c r="M128"/>
      <c r="N128"/>
      <c r="O128">
        <v>1.83</v>
      </c>
      <c r="P128">
        <v>0.0</v>
      </c>
      <c r="Q128">
        <v>12.0</v>
      </c>
      <c r="R128"/>
      <c r="S128"/>
      <c r="T128"/>
      <c r="U128"/>
      <c r="V128"/>
      <c r="W128">
        <v>18</v>
      </c>
    </row>
    <row r="129" spans="1:23">
      <c r="A129"/>
      <c r="B129" t="s">
        <v>94</v>
      </c>
      <c r="C129" t="s">
        <v>94</v>
      </c>
      <c r="D129" t="s">
        <v>33</v>
      </c>
      <c r="E129" t="s">
        <v>34</v>
      </c>
      <c r="F129" t="str">
        <f>"0008188"</f>
        <v>0008188</v>
      </c>
      <c r="G129">
        <v>6</v>
      </c>
      <c r="H129" t="str">
        <f>"20491573636"</f>
        <v>20491573636</v>
      </c>
      <c r="I129" t="s">
        <v>96</v>
      </c>
      <c r="J129"/>
      <c r="K129">
        <v>67.8</v>
      </c>
      <c r="L129">
        <v>0.0</v>
      </c>
      <c r="M129"/>
      <c r="N129"/>
      <c r="O129">
        <v>12.2</v>
      </c>
      <c r="P129">
        <v>0.0</v>
      </c>
      <c r="Q129">
        <v>80.0</v>
      </c>
      <c r="R129"/>
      <c r="S129"/>
      <c r="T129"/>
      <c r="U129"/>
      <c r="V129"/>
      <c r="W129">
        <v>18</v>
      </c>
    </row>
    <row r="130" spans="1:23">
      <c r="A130"/>
      <c r="B130" t="s">
        <v>94</v>
      </c>
      <c r="C130" t="s">
        <v>94</v>
      </c>
      <c r="D130" t="s">
        <v>37</v>
      </c>
      <c r="E130" t="s">
        <v>38</v>
      </c>
      <c r="F130" t="str">
        <f>"0000569"</f>
        <v>0000569</v>
      </c>
      <c r="G130">
        <v>6</v>
      </c>
      <c r="H130" t="str">
        <f>"20602050506"</f>
        <v>20602050506</v>
      </c>
      <c r="I130" t="s">
        <v>41</v>
      </c>
      <c r="J130"/>
      <c r="K130">
        <v>42.37</v>
      </c>
      <c r="L130">
        <v>0.0</v>
      </c>
      <c r="M130"/>
      <c r="N130"/>
      <c r="O130">
        <v>7.63</v>
      </c>
      <c r="P130">
        <v>0.0</v>
      </c>
      <c r="Q130">
        <v>50.0</v>
      </c>
      <c r="R130"/>
      <c r="S130"/>
      <c r="T130"/>
      <c r="U130"/>
      <c r="V130"/>
      <c r="W130">
        <v>18</v>
      </c>
    </row>
    <row r="131" spans="1:23">
      <c r="A131"/>
      <c r="B131" t="s">
        <v>94</v>
      </c>
      <c r="C131" t="s">
        <v>94</v>
      </c>
      <c r="D131" t="s">
        <v>33</v>
      </c>
      <c r="E131" t="s">
        <v>34</v>
      </c>
      <c r="F131" t="str">
        <f>"0008189"</f>
        <v>0008189</v>
      </c>
      <c r="G131">
        <v>1</v>
      </c>
      <c r="H131" t="str">
        <f>"00000001"</f>
        <v>00000001</v>
      </c>
      <c r="I131" t="s">
        <v>35</v>
      </c>
      <c r="J131"/>
      <c r="K131">
        <v>30.51</v>
      </c>
      <c r="L131">
        <v>0.0</v>
      </c>
      <c r="M131"/>
      <c r="N131"/>
      <c r="O131">
        <v>5.49</v>
      </c>
      <c r="P131">
        <v>0.0</v>
      </c>
      <c r="Q131">
        <v>36.0</v>
      </c>
      <c r="R131"/>
      <c r="S131"/>
      <c r="T131"/>
      <c r="U131"/>
      <c r="V131"/>
      <c r="W131">
        <v>18</v>
      </c>
    </row>
    <row r="132" spans="1:23">
      <c r="A132"/>
      <c r="B132" t="s">
        <v>94</v>
      </c>
      <c r="C132" t="s">
        <v>94</v>
      </c>
      <c r="D132" t="s">
        <v>33</v>
      </c>
      <c r="E132" t="s">
        <v>34</v>
      </c>
      <c r="F132" t="str">
        <f>"0008190"</f>
        <v>0008190</v>
      </c>
      <c r="G132">
        <v>1</v>
      </c>
      <c r="H132" t="str">
        <f>"00000001"</f>
        <v>00000001</v>
      </c>
      <c r="I132" t="s">
        <v>35</v>
      </c>
      <c r="J132"/>
      <c r="K132">
        <v>14.41</v>
      </c>
      <c r="L132">
        <v>0.0</v>
      </c>
      <c r="M132"/>
      <c r="N132"/>
      <c r="O132">
        <v>2.59</v>
      </c>
      <c r="P132">
        <v>0.0</v>
      </c>
      <c r="Q132">
        <v>17.0</v>
      </c>
      <c r="R132"/>
      <c r="S132"/>
      <c r="T132"/>
      <c r="U132"/>
      <c r="V132"/>
      <c r="W132">
        <v>18</v>
      </c>
    </row>
    <row r="133" spans="1:23">
      <c r="A133"/>
      <c r="B133" t="s">
        <v>97</v>
      </c>
      <c r="C133" t="s">
        <v>97</v>
      </c>
      <c r="D133" t="s">
        <v>33</v>
      </c>
      <c r="E133" t="s">
        <v>34</v>
      </c>
      <c r="F133" t="str">
        <f>"0008191"</f>
        <v>0008191</v>
      </c>
      <c r="G133">
        <v>1</v>
      </c>
      <c r="H133" t="str">
        <f>"00000001"</f>
        <v>00000001</v>
      </c>
      <c r="I133" t="s">
        <v>35</v>
      </c>
      <c r="J133"/>
      <c r="K133">
        <v>7.2</v>
      </c>
      <c r="L133">
        <v>0.0</v>
      </c>
      <c r="M133"/>
      <c r="N133"/>
      <c r="O133">
        <v>1.3</v>
      </c>
      <c r="P133">
        <v>0.0</v>
      </c>
      <c r="Q133">
        <v>8.5</v>
      </c>
      <c r="R133"/>
      <c r="S133"/>
      <c r="T133"/>
      <c r="U133"/>
      <c r="V133"/>
      <c r="W133">
        <v>18</v>
      </c>
    </row>
    <row r="134" spans="1:23">
      <c r="A134"/>
      <c r="B134" t="s">
        <v>97</v>
      </c>
      <c r="C134" t="s">
        <v>97</v>
      </c>
      <c r="D134" t="s">
        <v>33</v>
      </c>
      <c r="E134" t="s">
        <v>34</v>
      </c>
      <c r="F134" t="str">
        <f>"0008192"</f>
        <v>0008192</v>
      </c>
      <c r="G134">
        <v>1</v>
      </c>
      <c r="H134" t="str">
        <f>"00000001"</f>
        <v>00000001</v>
      </c>
      <c r="I134" t="s">
        <v>35</v>
      </c>
      <c r="J134"/>
      <c r="K134">
        <v>5.51</v>
      </c>
      <c r="L134">
        <v>0.0</v>
      </c>
      <c r="M134"/>
      <c r="N134"/>
      <c r="O134">
        <v>0.99</v>
      </c>
      <c r="P134">
        <v>0.0</v>
      </c>
      <c r="Q134">
        <v>6.5</v>
      </c>
      <c r="R134"/>
      <c r="S134"/>
      <c r="T134"/>
      <c r="U134"/>
      <c r="V134"/>
      <c r="W134">
        <v>18</v>
      </c>
    </row>
    <row r="135" spans="1:23">
      <c r="A135"/>
      <c r="B135" t="s">
        <v>97</v>
      </c>
      <c r="C135" t="s">
        <v>97</v>
      </c>
      <c r="D135" t="s">
        <v>33</v>
      </c>
      <c r="E135" t="s">
        <v>34</v>
      </c>
      <c r="F135" t="str">
        <f>"0008193"</f>
        <v>0008193</v>
      </c>
      <c r="G135">
        <v>1</v>
      </c>
      <c r="H135" t="str">
        <f>"00000001"</f>
        <v>00000001</v>
      </c>
      <c r="I135" t="s">
        <v>35</v>
      </c>
      <c r="J135"/>
      <c r="K135">
        <v>13.22</v>
      </c>
      <c r="L135">
        <v>0.0</v>
      </c>
      <c r="M135"/>
      <c r="N135"/>
      <c r="O135">
        <v>2.38</v>
      </c>
      <c r="P135">
        <v>0.0</v>
      </c>
      <c r="Q135">
        <v>15.6</v>
      </c>
      <c r="R135"/>
      <c r="S135"/>
      <c r="T135"/>
      <c r="U135"/>
      <c r="V135"/>
      <c r="W135">
        <v>18</v>
      </c>
    </row>
    <row r="136" spans="1:23">
      <c r="A136"/>
      <c r="B136" t="s">
        <v>97</v>
      </c>
      <c r="C136" t="s">
        <v>97</v>
      </c>
      <c r="D136" t="s">
        <v>33</v>
      </c>
      <c r="E136" t="s">
        <v>34</v>
      </c>
      <c r="F136" t="str">
        <f>"0008194"</f>
        <v>0008194</v>
      </c>
      <c r="G136">
        <v>1</v>
      </c>
      <c r="H136" t="str">
        <f>"00000001"</f>
        <v>00000001</v>
      </c>
      <c r="I136" t="s">
        <v>35</v>
      </c>
      <c r="J136"/>
      <c r="K136">
        <v>2.54</v>
      </c>
      <c r="L136">
        <v>0.0</v>
      </c>
      <c r="M136"/>
      <c r="N136"/>
      <c r="O136">
        <v>0.46</v>
      </c>
      <c r="P136">
        <v>0.0</v>
      </c>
      <c r="Q136">
        <v>3.0</v>
      </c>
      <c r="R136"/>
      <c r="S136"/>
      <c r="T136"/>
      <c r="U136"/>
      <c r="V136"/>
      <c r="W136">
        <v>18</v>
      </c>
    </row>
    <row r="137" spans="1:23">
      <c r="A137"/>
      <c r="B137" t="s">
        <v>97</v>
      </c>
      <c r="C137" t="s">
        <v>97</v>
      </c>
      <c r="D137" t="s">
        <v>33</v>
      </c>
      <c r="E137" t="s">
        <v>34</v>
      </c>
      <c r="F137" t="str">
        <f>"0008195"</f>
        <v>0008195</v>
      </c>
      <c r="G137">
        <v>6</v>
      </c>
      <c r="H137" t="str">
        <f>"20146796347"</f>
        <v>20146796347</v>
      </c>
      <c r="I137" t="s">
        <v>47</v>
      </c>
      <c r="J137"/>
      <c r="K137">
        <v>30.51</v>
      </c>
      <c r="L137">
        <v>0.0</v>
      </c>
      <c r="M137"/>
      <c r="N137"/>
      <c r="O137">
        <v>5.49</v>
      </c>
      <c r="P137">
        <v>0.0</v>
      </c>
      <c r="Q137">
        <v>36.0</v>
      </c>
      <c r="R137"/>
      <c r="S137"/>
      <c r="T137"/>
      <c r="U137"/>
      <c r="V137"/>
      <c r="W137">
        <v>18</v>
      </c>
    </row>
    <row r="138" spans="1:23">
      <c r="A138"/>
      <c r="B138" t="s">
        <v>97</v>
      </c>
      <c r="C138" t="s">
        <v>97</v>
      </c>
      <c r="D138" t="s">
        <v>33</v>
      </c>
      <c r="E138" t="s">
        <v>34</v>
      </c>
      <c r="F138" t="str">
        <f>"0008196"</f>
        <v>0008196</v>
      </c>
      <c r="G138">
        <v>1</v>
      </c>
      <c r="H138" t="str">
        <f>"00000001"</f>
        <v>00000001</v>
      </c>
      <c r="I138" t="s">
        <v>35</v>
      </c>
      <c r="J138"/>
      <c r="K138">
        <v>37.71</v>
      </c>
      <c r="L138">
        <v>0.0</v>
      </c>
      <c r="M138"/>
      <c r="N138"/>
      <c r="O138">
        <v>6.79</v>
      </c>
      <c r="P138">
        <v>0.0</v>
      </c>
      <c r="Q138">
        <v>44.5</v>
      </c>
      <c r="R138"/>
      <c r="S138"/>
      <c r="T138"/>
      <c r="U138"/>
      <c r="V138"/>
      <c r="W138">
        <v>18</v>
      </c>
    </row>
    <row r="139" spans="1:23">
      <c r="A139"/>
      <c r="B139" t="s">
        <v>97</v>
      </c>
      <c r="C139" t="s">
        <v>97</v>
      </c>
      <c r="D139" t="s">
        <v>33</v>
      </c>
      <c r="E139" t="s">
        <v>34</v>
      </c>
      <c r="F139" t="str">
        <f>"0008197"</f>
        <v>0008197</v>
      </c>
      <c r="G139">
        <v>6</v>
      </c>
      <c r="H139" t="str">
        <f>"20148260843"</f>
        <v>20148260843</v>
      </c>
      <c r="I139" t="s">
        <v>62</v>
      </c>
      <c r="J139"/>
      <c r="K139">
        <v>38.14</v>
      </c>
      <c r="L139">
        <v>0.0</v>
      </c>
      <c r="M139"/>
      <c r="N139"/>
      <c r="O139">
        <v>6.86</v>
      </c>
      <c r="P139">
        <v>0.0</v>
      </c>
      <c r="Q139">
        <v>45.0</v>
      </c>
      <c r="R139"/>
      <c r="S139"/>
      <c r="T139"/>
      <c r="U139"/>
      <c r="V139"/>
      <c r="W139">
        <v>18</v>
      </c>
    </row>
    <row r="140" spans="1:23">
      <c r="A140"/>
      <c r="B140" t="s">
        <v>97</v>
      </c>
      <c r="C140" t="s">
        <v>97</v>
      </c>
      <c r="D140" t="s">
        <v>33</v>
      </c>
      <c r="E140" t="s">
        <v>34</v>
      </c>
      <c r="F140" t="str">
        <f>"0008198"</f>
        <v>0008198</v>
      </c>
      <c r="G140">
        <v>1</v>
      </c>
      <c r="H140" t="str">
        <f>"00000001"</f>
        <v>00000001</v>
      </c>
      <c r="I140" t="s">
        <v>35</v>
      </c>
      <c r="J140"/>
      <c r="K140">
        <v>61.02</v>
      </c>
      <c r="L140">
        <v>0.0</v>
      </c>
      <c r="M140"/>
      <c r="N140"/>
      <c r="O140">
        <v>10.98</v>
      </c>
      <c r="P140">
        <v>0.0</v>
      </c>
      <c r="Q140">
        <v>72.0</v>
      </c>
      <c r="R140"/>
      <c r="S140"/>
      <c r="T140"/>
      <c r="U140"/>
      <c r="V140"/>
      <c r="W140">
        <v>18</v>
      </c>
    </row>
    <row r="141" spans="1:23">
      <c r="A141"/>
      <c r="B141" t="s">
        <v>97</v>
      </c>
      <c r="C141" t="s">
        <v>97</v>
      </c>
      <c r="D141" t="s">
        <v>33</v>
      </c>
      <c r="E141" t="s">
        <v>34</v>
      </c>
      <c r="F141" t="str">
        <f>"0008199"</f>
        <v>0008199</v>
      </c>
      <c r="G141">
        <v>1</v>
      </c>
      <c r="H141" t="str">
        <f>"00000001"</f>
        <v>00000001</v>
      </c>
      <c r="I141" t="s">
        <v>35</v>
      </c>
      <c r="J141"/>
      <c r="K141">
        <v>42.37</v>
      </c>
      <c r="L141">
        <v>0.0</v>
      </c>
      <c r="M141"/>
      <c r="N141"/>
      <c r="O141">
        <v>7.63</v>
      </c>
      <c r="P141">
        <v>0.0</v>
      </c>
      <c r="Q141">
        <v>50.0</v>
      </c>
      <c r="R141"/>
      <c r="S141"/>
      <c r="T141"/>
      <c r="U141"/>
      <c r="V141"/>
      <c r="W141">
        <v>18</v>
      </c>
    </row>
    <row r="142" spans="1:23">
      <c r="A142"/>
      <c r="B142" t="s">
        <v>97</v>
      </c>
      <c r="C142" t="s">
        <v>97</v>
      </c>
      <c r="D142" t="s">
        <v>33</v>
      </c>
      <c r="E142" t="s">
        <v>34</v>
      </c>
      <c r="F142" t="str">
        <f>"0008200"</f>
        <v>0008200</v>
      </c>
      <c r="G142">
        <v>1</v>
      </c>
      <c r="H142" t="str">
        <f>"00000001"</f>
        <v>00000001</v>
      </c>
      <c r="I142" t="s">
        <v>35</v>
      </c>
      <c r="J142"/>
      <c r="K142">
        <v>14.41</v>
      </c>
      <c r="L142">
        <v>0.0</v>
      </c>
      <c r="M142"/>
      <c r="N142"/>
      <c r="O142">
        <v>2.59</v>
      </c>
      <c r="P142">
        <v>0.0</v>
      </c>
      <c r="Q142">
        <v>17.0</v>
      </c>
      <c r="R142"/>
      <c r="S142"/>
      <c r="T142"/>
      <c r="U142"/>
      <c r="V142"/>
      <c r="W142">
        <v>18</v>
      </c>
    </row>
    <row r="143" spans="1:23">
      <c r="A143"/>
      <c r="B143" t="s">
        <v>97</v>
      </c>
      <c r="C143" t="s">
        <v>97</v>
      </c>
      <c r="D143" t="s">
        <v>33</v>
      </c>
      <c r="E143" t="s">
        <v>34</v>
      </c>
      <c r="F143" t="str">
        <f>"0008201"</f>
        <v>0008201</v>
      </c>
      <c r="G143">
        <v>1</v>
      </c>
      <c r="H143" t="str">
        <f>"00000001"</f>
        <v>00000001</v>
      </c>
      <c r="I143" t="s">
        <v>35</v>
      </c>
      <c r="J143"/>
      <c r="K143">
        <v>10.17</v>
      </c>
      <c r="L143">
        <v>0.0</v>
      </c>
      <c r="M143"/>
      <c r="N143"/>
      <c r="O143">
        <v>1.83</v>
      </c>
      <c r="P143">
        <v>0.0</v>
      </c>
      <c r="Q143">
        <v>12.0</v>
      </c>
      <c r="R143"/>
      <c r="S143"/>
      <c r="T143"/>
      <c r="U143"/>
      <c r="V143"/>
      <c r="W143">
        <v>18</v>
      </c>
    </row>
    <row r="144" spans="1:23">
      <c r="A144"/>
      <c r="B144" t="s">
        <v>98</v>
      </c>
      <c r="C144" t="s">
        <v>98</v>
      </c>
      <c r="D144" t="s">
        <v>37</v>
      </c>
      <c r="E144" t="s">
        <v>38</v>
      </c>
      <c r="F144" t="str">
        <f>"0000570"</f>
        <v>0000570</v>
      </c>
      <c r="G144">
        <v>6</v>
      </c>
      <c r="H144" t="str">
        <f>"20512002090"</f>
        <v>20512002090</v>
      </c>
      <c r="I144" t="s">
        <v>99</v>
      </c>
      <c r="J144"/>
      <c r="K144">
        <v>15.25</v>
      </c>
      <c r="L144">
        <v>0.0</v>
      </c>
      <c r="M144"/>
      <c r="N144"/>
      <c r="O144">
        <v>2.75</v>
      </c>
      <c r="P144">
        <v>0.0</v>
      </c>
      <c r="Q144">
        <v>18.0</v>
      </c>
      <c r="R144"/>
      <c r="S144"/>
      <c r="T144"/>
      <c r="U144"/>
      <c r="V144"/>
      <c r="W144">
        <v>18</v>
      </c>
    </row>
    <row r="145" spans="1:23">
      <c r="A145"/>
      <c r="B145" t="s">
        <v>98</v>
      </c>
      <c r="C145" t="s">
        <v>98</v>
      </c>
      <c r="D145" t="s">
        <v>33</v>
      </c>
      <c r="E145" t="s">
        <v>34</v>
      </c>
      <c r="F145" t="str">
        <f>"0008202"</f>
        <v>0008202</v>
      </c>
      <c r="G145">
        <v>6</v>
      </c>
      <c r="H145" t="str">
        <f>"20602050506"</f>
        <v>20602050506</v>
      </c>
      <c r="I145" t="s">
        <v>41</v>
      </c>
      <c r="J145"/>
      <c r="K145">
        <v>42.37</v>
      </c>
      <c r="L145">
        <v>0.0</v>
      </c>
      <c r="M145"/>
      <c r="N145"/>
      <c r="O145">
        <v>7.63</v>
      </c>
      <c r="P145">
        <v>0.0</v>
      </c>
      <c r="Q145">
        <v>50.0</v>
      </c>
      <c r="R145"/>
      <c r="S145"/>
      <c r="T145"/>
      <c r="U145"/>
      <c r="V145"/>
      <c r="W145">
        <v>18</v>
      </c>
    </row>
    <row r="146" spans="1:23">
      <c r="A146"/>
      <c r="B146" t="s">
        <v>98</v>
      </c>
      <c r="C146" t="s">
        <v>98</v>
      </c>
      <c r="D146" t="s">
        <v>37</v>
      </c>
      <c r="E146" t="s">
        <v>38</v>
      </c>
      <c r="F146" t="str">
        <f>"0000571"</f>
        <v>0000571</v>
      </c>
      <c r="G146">
        <v>6</v>
      </c>
      <c r="H146" t="str">
        <f>"20496118384"</f>
        <v>20496118384</v>
      </c>
      <c r="I146" t="s">
        <v>100</v>
      </c>
      <c r="J146"/>
      <c r="K146">
        <v>22.88</v>
      </c>
      <c r="L146">
        <v>0.0</v>
      </c>
      <c r="M146"/>
      <c r="N146"/>
      <c r="O146">
        <v>4.12</v>
      </c>
      <c r="P146">
        <v>0.0</v>
      </c>
      <c r="Q146">
        <v>27.0</v>
      </c>
      <c r="R146"/>
      <c r="S146"/>
      <c r="T146"/>
      <c r="U146"/>
      <c r="V146"/>
      <c r="W146">
        <v>18</v>
      </c>
    </row>
    <row r="147" spans="1:23">
      <c r="A147"/>
      <c r="B147" t="s">
        <v>98</v>
      </c>
      <c r="C147" t="s">
        <v>98</v>
      </c>
      <c r="D147" t="s">
        <v>33</v>
      </c>
      <c r="E147" t="s">
        <v>34</v>
      </c>
      <c r="F147" t="str">
        <f>"0008203"</f>
        <v>0008203</v>
      </c>
      <c r="G147">
        <v>1</v>
      </c>
      <c r="H147" t="str">
        <f>"00000001"</f>
        <v>00000001</v>
      </c>
      <c r="I147" t="s">
        <v>35</v>
      </c>
      <c r="J147"/>
      <c r="K147">
        <v>144.24</v>
      </c>
      <c r="L147">
        <v>0.0</v>
      </c>
      <c r="M147"/>
      <c r="N147"/>
      <c r="O147">
        <v>25.96</v>
      </c>
      <c r="P147">
        <v>0.0</v>
      </c>
      <c r="Q147">
        <v>170.2</v>
      </c>
      <c r="R147"/>
      <c r="S147"/>
      <c r="T147"/>
      <c r="U147"/>
      <c r="V147"/>
      <c r="W147">
        <v>18</v>
      </c>
    </row>
    <row r="148" spans="1:23">
      <c r="A148"/>
      <c r="B148" t="s">
        <v>101</v>
      </c>
      <c r="C148" t="s">
        <v>101</v>
      </c>
      <c r="D148" t="s">
        <v>33</v>
      </c>
      <c r="E148" t="s">
        <v>34</v>
      </c>
      <c r="F148" t="str">
        <f>"0008204"</f>
        <v>0008204</v>
      </c>
      <c r="G148">
        <v>6</v>
      </c>
      <c r="H148" t="str">
        <f>"20513030241"</f>
        <v>20513030241</v>
      </c>
      <c r="I148" t="s">
        <v>102</v>
      </c>
      <c r="J148"/>
      <c r="K148">
        <v>4.24</v>
      </c>
      <c r="L148">
        <v>0.0</v>
      </c>
      <c r="M148"/>
      <c r="N148"/>
      <c r="O148">
        <v>0.76</v>
      </c>
      <c r="P148">
        <v>0.0</v>
      </c>
      <c r="Q148">
        <v>5.0</v>
      </c>
      <c r="R148"/>
      <c r="S148"/>
      <c r="T148"/>
      <c r="U148"/>
      <c r="V148"/>
      <c r="W148">
        <v>18</v>
      </c>
    </row>
    <row r="149" spans="1:23">
      <c r="A149"/>
      <c r="B149" t="s">
        <v>101</v>
      </c>
      <c r="C149" t="s">
        <v>101</v>
      </c>
      <c r="D149" t="s">
        <v>33</v>
      </c>
      <c r="E149" t="s">
        <v>34</v>
      </c>
      <c r="F149" t="str">
        <f>"0008205"</f>
        <v>0008205</v>
      </c>
      <c r="G149">
        <v>1</v>
      </c>
      <c r="H149" t="str">
        <f>"00000001"</f>
        <v>00000001</v>
      </c>
      <c r="I149" t="s">
        <v>35</v>
      </c>
      <c r="J149"/>
      <c r="K149">
        <v>10.59</v>
      </c>
      <c r="L149">
        <v>0.0</v>
      </c>
      <c r="M149"/>
      <c r="N149"/>
      <c r="O149">
        <v>1.91</v>
      </c>
      <c r="P149">
        <v>0.0</v>
      </c>
      <c r="Q149">
        <v>12.5</v>
      </c>
      <c r="R149"/>
      <c r="S149"/>
      <c r="T149"/>
      <c r="U149"/>
      <c r="V149"/>
      <c r="W149">
        <v>18</v>
      </c>
    </row>
    <row r="150" spans="1:23">
      <c r="A150"/>
      <c r="B150" t="s">
        <v>101</v>
      </c>
      <c r="C150" t="s">
        <v>101</v>
      </c>
      <c r="D150" t="s">
        <v>33</v>
      </c>
      <c r="E150" t="s">
        <v>34</v>
      </c>
      <c r="F150" t="str">
        <f>"0008206"</f>
        <v>0008206</v>
      </c>
      <c r="G150">
        <v>1</v>
      </c>
      <c r="H150" t="str">
        <f>"00000001"</f>
        <v>00000001</v>
      </c>
      <c r="I150" t="s">
        <v>35</v>
      </c>
      <c r="J150"/>
      <c r="K150">
        <v>49.15</v>
      </c>
      <c r="L150">
        <v>0.0</v>
      </c>
      <c r="M150"/>
      <c r="N150"/>
      <c r="O150">
        <v>8.85</v>
      </c>
      <c r="P150">
        <v>0.0</v>
      </c>
      <c r="Q150">
        <v>58.0</v>
      </c>
      <c r="R150"/>
      <c r="S150"/>
      <c r="T150"/>
      <c r="U150"/>
      <c r="V150"/>
      <c r="W150">
        <v>18</v>
      </c>
    </row>
    <row r="151" spans="1:23">
      <c r="A151"/>
      <c r="B151" t="s">
        <v>101</v>
      </c>
      <c r="C151" t="s">
        <v>101</v>
      </c>
      <c r="D151" t="s">
        <v>33</v>
      </c>
      <c r="E151" t="s">
        <v>34</v>
      </c>
      <c r="F151" t="str">
        <f>"0008207"</f>
        <v>0008207</v>
      </c>
      <c r="G151">
        <v>1</v>
      </c>
      <c r="H151" t="str">
        <f>"00000001"</f>
        <v>00000001</v>
      </c>
      <c r="I151" t="s">
        <v>35</v>
      </c>
      <c r="J151"/>
      <c r="K151">
        <v>44.92</v>
      </c>
      <c r="L151">
        <v>0.0</v>
      </c>
      <c r="M151"/>
      <c r="N151"/>
      <c r="O151">
        <v>8.08</v>
      </c>
      <c r="P151">
        <v>0.0</v>
      </c>
      <c r="Q151">
        <v>53.0</v>
      </c>
      <c r="R151"/>
      <c r="S151"/>
      <c r="T151"/>
      <c r="U151"/>
      <c r="V151"/>
      <c r="W151">
        <v>18</v>
      </c>
    </row>
    <row r="152" spans="1:23">
      <c r="A152"/>
      <c r="B152" t="s">
        <v>101</v>
      </c>
      <c r="C152" t="s">
        <v>101</v>
      </c>
      <c r="D152" t="s">
        <v>33</v>
      </c>
      <c r="E152" t="s">
        <v>34</v>
      </c>
      <c r="F152" t="str">
        <f>"0008208"</f>
        <v>0008208</v>
      </c>
      <c r="G152">
        <v>1</v>
      </c>
      <c r="H152" t="str">
        <f>"00000001"</f>
        <v>00000001</v>
      </c>
      <c r="I152" t="s">
        <v>35</v>
      </c>
      <c r="J152"/>
      <c r="K152">
        <v>17.8</v>
      </c>
      <c r="L152">
        <v>0.0</v>
      </c>
      <c r="M152"/>
      <c r="N152"/>
      <c r="O152">
        <v>3.2</v>
      </c>
      <c r="P152">
        <v>0.0</v>
      </c>
      <c r="Q152">
        <v>21.0</v>
      </c>
      <c r="R152"/>
      <c r="S152"/>
      <c r="T152"/>
      <c r="U152"/>
      <c r="V152"/>
      <c r="W152">
        <v>18</v>
      </c>
    </row>
    <row r="153" spans="1:23">
      <c r="A153"/>
      <c r="B153" t="s">
        <v>101</v>
      </c>
      <c r="C153" t="s">
        <v>101</v>
      </c>
      <c r="D153" t="s">
        <v>37</v>
      </c>
      <c r="E153" t="s">
        <v>38</v>
      </c>
      <c r="F153" t="str">
        <f>"0000572"</f>
        <v>0000572</v>
      </c>
      <c r="G153">
        <v>6</v>
      </c>
      <c r="H153" t="str">
        <f>"20382036655"</f>
        <v>20382036655</v>
      </c>
      <c r="I153" t="s">
        <v>103</v>
      </c>
      <c r="J153"/>
      <c r="K153">
        <v>12.71</v>
      </c>
      <c r="L153">
        <v>0.0</v>
      </c>
      <c r="M153"/>
      <c r="N153"/>
      <c r="O153">
        <v>2.29</v>
      </c>
      <c r="P153">
        <v>0.0</v>
      </c>
      <c r="Q153">
        <v>15.0</v>
      </c>
      <c r="R153"/>
      <c r="S153"/>
      <c r="T153"/>
      <c r="U153"/>
      <c r="V153"/>
      <c r="W153">
        <v>18</v>
      </c>
    </row>
    <row r="154" spans="1:23">
      <c r="A154"/>
      <c r="B154" t="s">
        <v>101</v>
      </c>
      <c r="C154" t="s">
        <v>101</v>
      </c>
      <c r="D154" t="s">
        <v>33</v>
      </c>
      <c r="E154" t="s">
        <v>34</v>
      </c>
      <c r="F154" t="str">
        <f>"0008209"</f>
        <v>0008209</v>
      </c>
      <c r="G154">
        <v>1</v>
      </c>
      <c r="H154" t="str">
        <f>"00000001"</f>
        <v>00000001</v>
      </c>
      <c r="I154" t="s">
        <v>35</v>
      </c>
      <c r="J154"/>
      <c r="K154">
        <v>84.75</v>
      </c>
      <c r="L154">
        <v>0.0</v>
      </c>
      <c r="M154"/>
      <c r="N154"/>
      <c r="O154">
        <v>15.25</v>
      </c>
      <c r="P154">
        <v>0.0</v>
      </c>
      <c r="Q154">
        <v>100.0</v>
      </c>
      <c r="R154"/>
      <c r="S154"/>
      <c r="T154"/>
      <c r="U154"/>
      <c r="V154"/>
      <c r="W154">
        <v>18</v>
      </c>
    </row>
    <row r="155" spans="1:23">
      <c r="A155"/>
      <c r="B155" t="s">
        <v>101</v>
      </c>
      <c r="C155" t="s">
        <v>101</v>
      </c>
      <c r="D155" t="s">
        <v>33</v>
      </c>
      <c r="E155" t="s">
        <v>34</v>
      </c>
      <c r="F155" t="str">
        <f>"0008210"</f>
        <v>0008210</v>
      </c>
      <c r="G155">
        <v>1</v>
      </c>
      <c r="H155" t="str">
        <f>"00000001"</f>
        <v>00000001</v>
      </c>
      <c r="I155" t="s">
        <v>35</v>
      </c>
      <c r="J155"/>
      <c r="K155">
        <v>21.19</v>
      </c>
      <c r="L155">
        <v>0.0</v>
      </c>
      <c r="M155"/>
      <c r="N155"/>
      <c r="O155">
        <v>3.81</v>
      </c>
      <c r="P155">
        <v>0.0</v>
      </c>
      <c r="Q155">
        <v>25.0</v>
      </c>
      <c r="R155"/>
      <c r="S155"/>
      <c r="T155"/>
      <c r="U155"/>
      <c r="V155"/>
      <c r="W155">
        <v>18</v>
      </c>
    </row>
    <row r="156" spans="1:23">
      <c r="A156"/>
      <c r="B156" t="s">
        <v>101</v>
      </c>
      <c r="C156" t="s">
        <v>101</v>
      </c>
      <c r="D156" t="s">
        <v>33</v>
      </c>
      <c r="E156" t="s">
        <v>34</v>
      </c>
      <c r="F156" t="str">
        <f>"0008211"</f>
        <v>0008211</v>
      </c>
      <c r="G156">
        <v>1</v>
      </c>
      <c r="H156" t="str">
        <f>"00000001"</f>
        <v>00000001</v>
      </c>
      <c r="I156" t="s">
        <v>35</v>
      </c>
      <c r="J156"/>
      <c r="K156">
        <v>6.36</v>
      </c>
      <c r="L156">
        <v>0.0</v>
      </c>
      <c r="M156"/>
      <c r="N156"/>
      <c r="O156">
        <v>1.14</v>
      </c>
      <c r="P156">
        <v>0.0</v>
      </c>
      <c r="Q156">
        <v>7.5</v>
      </c>
      <c r="R156"/>
      <c r="S156"/>
      <c r="T156"/>
      <c r="U156"/>
      <c r="V156"/>
      <c r="W156">
        <v>18</v>
      </c>
    </row>
    <row r="157" spans="1:23">
      <c r="A157"/>
      <c r="B157" t="s">
        <v>104</v>
      </c>
      <c r="C157" t="s">
        <v>104</v>
      </c>
      <c r="D157" t="s">
        <v>33</v>
      </c>
      <c r="E157" t="s">
        <v>34</v>
      </c>
      <c r="F157" t="str">
        <f>"0008212"</f>
        <v>0008212</v>
      </c>
      <c r="G157">
        <v>6</v>
      </c>
      <c r="H157" t="str">
        <f>"20610600787"</f>
        <v>20610600787</v>
      </c>
      <c r="I157" t="s">
        <v>63</v>
      </c>
      <c r="J157"/>
      <c r="K157">
        <v>61.02</v>
      </c>
      <c r="L157">
        <v>0.0</v>
      </c>
      <c r="M157"/>
      <c r="N157"/>
      <c r="O157">
        <v>10.98</v>
      </c>
      <c r="P157">
        <v>0.0</v>
      </c>
      <c r="Q157">
        <v>72.0</v>
      </c>
      <c r="R157"/>
      <c r="S157"/>
      <c r="T157"/>
      <c r="U157"/>
      <c r="V157"/>
      <c r="W157">
        <v>18</v>
      </c>
    </row>
    <row r="158" spans="1:23">
      <c r="A158"/>
      <c r="B158" t="s">
        <v>104</v>
      </c>
      <c r="C158" t="s">
        <v>104</v>
      </c>
      <c r="D158" t="s">
        <v>33</v>
      </c>
      <c r="E158" t="s">
        <v>34</v>
      </c>
      <c r="F158" t="str">
        <f>"0008213"</f>
        <v>0008213</v>
      </c>
      <c r="G158">
        <v>1</v>
      </c>
      <c r="H158" t="str">
        <f>"0000AVSA"</f>
        <v>0000AVSA</v>
      </c>
      <c r="I158" t="s">
        <v>79</v>
      </c>
      <c r="J158"/>
      <c r="K158">
        <v>8.47</v>
      </c>
      <c r="L158">
        <v>0.0</v>
      </c>
      <c r="M158"/>
      <c r="N158"/>
      <c r="O158">
        <v>1.53</v>
      </c>
      <c r="P158">
        <v>0.0</v>
      </c>
      <c r="Q158">
        <v>10.0</v>
      </c>
      <c r="R158"/>
      <c r="S158"/>
      <c r="T158"/>
      <c r="U158"/>
      <c r="V158"/>
      <c r="W158">
        <v>18</v>
      </c>
    </row>
    <row r="159" spans="1:23">
      <c r="A159"/>
      <c r="B159" t="s">
        <v>104</v>
      </c>
      <c r="C159" t="s">
        <v>104</v>
      </c>
      <c r="D159" t="s">
        <v>33</v>
      </c>
      <c r="E159" t="s">
        <v>34</v>
      </c>
      <c r="F159" t="str">
        <f>"0008214"</f>
        <v>0008214</v>
      </c>
      <c r="G159">
        <v>6</v>
      </c>
      <c r="H159" t="str">
        <f>"20610600787"</f>
        <v>20610600787</v>
      </c>
      <c r="I159" t="s">
        <v>63</v>
      </c>
      <c r="J159"/>
      <c r="K159">
        <v>57.2</v>
      </c>
      <c r="L159">
        <v>0.0</v>
      </c>
      <c r="M159"/>
      <c r="N159"/>
      <c r="O159">
        <v>10.3</v>
      </c>
      <c r="P159">
        <v>0.0</v>
      </c>
      <c r="Q159">
        <v>67.5</v>
      </c>
      <c r="R159"/>
      <c r="S159"/>
      <c r="T159"/>
      <c r="U159"/>
      <c r="V159"/>
      <c r="W159">
        <v>18</v>
      </c>
    </row>
    <row r="160" spans="1:23">
      <c r="A160"/>
      <c r="B160" t="s">
        <v>104</v>
      </c>
      <c r="C160" t="s">
        <v>104</v>
      </c>
      <c r="D160" t="s">
        <v>33</v>
      </c>
      <c r="E160" t="s">
        <v>34</v>
      </c>
      <c r="F160" t="str">
        <f>"0008215"</f>
        <v>0008215</v>
      </c>
      <c r="G160">
        <v>1</v>
      </c>
      <c r="H160" t="str">
        <f>"0000AVSA"</f>
        <v>0000AVSA</v>
      </c>
      <c r="I160" t="s">
        <v>79</v>
      </c>
      <c r="J160"/>
      <c r="K160">
        <v>11.86</v>
      </c>
      <c r="L160">
        <v>0.0</v>
      </c>
      <c r="M160"/>
      <c r="N160"/>
      <c r="O160">
        <v>2.14</v>
      </c>
      <c r="P160">
        <v>0.0</v>
      </c>
      <c r="Q160">
        <v>14.0</v>
      </c>
      <c r="R160"/>
      <c r="S160"/>
      <c r="T160"/>
      <c r="U160"/>
      <c r="V160"/>
      <c r="W160">
        <v>18</v>
      </c>
    </row>
    <row r="161" spans="1:23">
      <c r="A161"/>
      <c r="B161" t="s">
        <v>104</v>
      </c>
      <c r="C161" t="s">
        <v>104</v>
      </c>
      <c r="D161" t="s">
        <v>33</v>
      </c>
      <c r="E161" t="s">
        <v>34</v>
      </c>
      <c r="F161" t="str">
        <f>"0008216"</f>
        <v>0008216</v>
      </c>
      <c r="G161">
        <v>6</v>
      </c>
      <c r="H161" t="str">
        <f>"10412210676"</f>
        <v>10412210676</v>
      </c>
      <c r="I161" t="s">
        <v>105</v>
      </c>
      <c r="J161"/>
      <c r="K161">
        <v>65.68</v>
      </c>
      <c r="L161">
        <v>0.0</v>
      </c>
      <c r="M161"/>
      <c r="N161"/>
      <c r="O161">
        <v>11.82</v>
      </c>
      <c r="P161">
        <v>0.0</v>
      </c>
      <c r="Q161">
        <v>77.5</v>
      </c>
      <c r="R161"/>
      <c r="S161"/>
      <c r="T161"/>
      <c r="U161"/>
      <c r="V161"/>
      <c r="W161">
        <v>18</v>
      </c>
    </row>
    <row r="162" spans="1:23">
      <c r="A162"/>
      <c r="B162" t="s">
        <v>104</v>
      </c>
      <c r="C162" t="s">
        <v>104</v>
      </c>
      <c r="D162" t="s">
        <v>37</v>
      </c>
      <c r="E162" t="s">
        <v>38</v>
      </c>
      <c r="F162" t="str">
        <f>"0000573"</f>
        <v>0000573</v>
      </c>
      <c r="G162">
        <v>6</v>
      </c>
      <c r="H162" t="str">
        <f>"20610600787"</f>
        <v>20610600787</v>
      </c>
      <c r="I162" t="s">
        <v>63</v>
      </c>
      <c r="J162"/>
      <c r="K162">
        <v>96.19</v>
      </c>
      <c r="L162">
        <v>0.0</v>
      </c>
      <c r="M162"/>
      <c r="N162"/>
      <c r="O162">
        <v>17.31</v>
      </c>
      <c r="P162">
        <v>0.0</v>
      </c>
      <c r="Q162">
        <v>113.5</v>
      </c>
      <c r="R162"/>
      <c r="S162"/>
      <c r="T162"/>
      <c r="U162"/>
      <c r="V162"/>
      <c r="W162">
        <v>18</v>
      </c>
    </row>
    <row r="163" spans="1:23">
      <c r="A163"/>
      <c r="B163" t="s">
        <v>104</v>
      </c>
      <c r="C163" t="s">
        <v>104</v>
      </c>
      <c r="D163" t="s">
        <v>37</v>
      </c>
      <c r="E163" t="s">
        <v>38</v>
      </c>
      <c r="F163" t="str">
        <f>"0000574"</f>
        <v>0000574</v>
      </c>
      <c r="G163">
        <v>6</v>
      </c>
      <c r="H163" t="str">
        <f>"20610600787"</f>
        <v>20610600787</v>
      </c>
      <c r="I163" t="s">
        <v>63</v>
      </c>
      <c r="J163"/>
      <c r="K163">
        <v>27.12</v>
      </c>
      <c r="L163">
        <v>0.0</v>
      </c>
      <c r="M163"/>
      <c r="N163"/>
      <c r="O163">
        <v>4.88</v>
      </c>
      <c r="P163">
        <v>0.0</v>
      </c>
      <c r="Q163">
        <v>32.0</v>
      </c>
      <c r="R163"/>
      <c r="S163"/>
      <c r="T163"/>
      <c r="U163"/>
      <c r="V163"/>
      <c r="W163">
        <v>18</v>
      </c>
    </row>
    <row r="164" spans="1:23">
      <c r="A164"/>
      <c r="B164" t="s">
        <v>106</v>
      </c>
      <c r="C164" t="s">
        <v>106</v>
      </c>
      <c r="D164" t="s">
        <v>33</v>
      </c>
      <c r="E164" t="s">
        <v>34</v>
      </c>
      <c r="F164" t="str">
        <f>"0008217"</f>
        <v>0008217</v>
      </c>
      <c r="G164">
        <v>6</v>
      </c>
      <c r="H164" t="str">
        <f>"20146796347"</f>
        <v>20146796347</v>
      </c>
      <c r="I164" t="s">
        <v>47</v>
      </c>
      <c r="J164"/>
      <c r="K164">
        <v>6.78</v>
      </c>
      <c r="L164">
        <v>0.0</v>
      </c>
      <c r="M164"/>
      <c r="N164"/>
      <c r="O164">
        <v>1.22</v>
      </c>
      <c r="P164">
        <v>0.0</v>
      </c>
      <c r="Q164">
        <v>8.0</v>
      </c>
      <c r="R164"/>
      <c r="S164"/>
      <c r="T164"/>
      <c r="U164"/>
      <c r="V164"/>
      <c r="W164">
        <v>18</v>
      </c>
    </row>
    <row r="165" spans="1:23">
      <c r="A165"/>
      <c r="B165" t="s">
        <v>106</v>
      </c>
      <c r="C165" t="s">
        <v>106</v>
      </c>
      <c r="D165" t="s">
        <v>33</v>
      </c>
      <c r="E165" t="s">
        <v>34</v>
      </c>
      <c r="F165" t="str">
        <f>"0008218"</f>
        <v>0008218</v>
      </c>
      <c r="G165">
        <v>1</v>
      </c>
      <c r="H165" t="str">
        <f>"00000001"</f>
        <v>00000001</v>
      </c>
      <c r="I165" t="s">
        <v>35</v>
      </c>
      <c r="J165"/>
      <c r="K165">
        <v>25.42</v>
      </c>
      <c r="L165">
        <v>0.0</v>
      </c>
      <c r="M165"/>
      <c r="N165"/>
      <c r="O165">
        <v>4.58</v>
      </c>
      <c r="P165">
        <v>0.0</v>
      </c>
      <c r="Q165">
        <v>30.0</v>
      </c>
      <c r="R165"/>
      <c r="S165"/>
      <c r="T165"/>
      <c r="U165"/>
      <c r="V165"/>
      <c r="W165">
        <v>18</v>
      </c>
    </row>
    <row r="166" spans="1:23">
      <c r="A166"/>
      <c r="B166" t="s">
        <v>106</v>
      </c>
      <c r="C166" t="s">
        <v>106</v>
      </c>
      <c r="D166" t="s">
        <v>33</v>
      </c>
      <c r="E166" t="s">
        <v>34</v>
      </c>
      <c r="F166" t="str">
        <f>"0008219"</f>
        <v>0008219</v>
      </c>
      <c r="G166">
        <v>1</v>
      </c>
      <c r="H166" t="str">
        <f>"00000001"</f>
        <v>00000001</v>
      </c>
      <c r="I166" t="s">
        <v>35</v>
      </c>
      <c r="J166"/>
      <c r="K166">
        <v>23.73</v>
      </c>
      <c r="L166">
        <v>0.0</v>
      </c>
      <c r="M166"/>
      <c r="N166"/>
      <c r="O166">
        <v>4.27</v>
      </c>
      <c r="P166">
        <v>0.0</v>
      </c>
      <c r="Q166">
        <v>28.0</v>
      </c>
      <c r="R166"/>
      <c r="S166"/>
      <c r="T166"/>
      <c r="U166"/>
      <c r="V166"/>
      <c r="W166">
        <v>18</v>
      </c>
    </row>
    <row r="167" spans="1:23">
      <c r="A167"/>
      <c r="B167" t="s">
        <v>106</v>
      </c>
      <c r="C167" t="s">
        <v>106</v>
      </c>
      <c r="D167" t="s">
        <v>33</v>
      </c>
      <c r="E167" t="s">
        <v>34</v>
      </c>
      <c r="F167" t="str">
        <f>"0008220"</f>
        <v>0008220</v>
      </c>
      <c r="G167">
        <v>1</v>
      </c>
      <c r="H167" t="str">
        <f>"00000001"</f>
        <v>00000001</v>
      </c>
      <c r="I167" t="s">
        <v>35</v>
      </c>
      <c r="J167"/>
      <c r="K167">
        <v>8.47</v>
      </c>
      <c r="L167">
        <v>0.0</v>
      </c>
      <c r="M167"/>
      <c r="N167"/>
      <c r="O167">
        <v>1.53</v>
      </c>
      <c r="P167">
        <v>0.0</v>
      </c>
      <c r="Q167">
        <v>10.0</v>
      </c>
      <c r="R167"/>
      <c r="S167"/>
      <c r="T167"/>
      <c r="U167"/>
      <c r="V167"/>
      <c r="W167">
        <v>18</v>
      </c>
    </row>
    <row r="168" spans="1:23">
      <c r="A168"/>
      <c r="B168" t="s">
        <v>106</v>
      </c>
      <c r="C168" t="s">
        <v>106</v>
      </c>
      <c r="D168" t="s">
        <v>33</v>
      </c>
      <c r="E168" t="s">
        <v>34</v>
      </c>
      <c r="F168" t="str">
        <f>"0008221"</f>
        <v>0008221</v>
      </c>
      <c r="G168">
        <v>1</v>
      </c>
      <c r="H168" t="str">
        <f>"00000001"</f>
        <v>00000001</v>
      </c>
      <c r="I168" t="s">
        <v>35</v>
      </c>
      <c r="J168"/>
      <c r="K168">
        <v>8.47</v>
      </c>
      <c r="L168">
        <v>0.0</v>
      </c>
      <c r="M168"/>
      <c r="N168"/>
      <c r="O168">
        <v>1.53</v>
      </c>
      <c r="P168">
        <v>0.0</v>
      </c>
      <c r="Q168">
        <v>10.0</v>
      </c>
      <c r="R168"/>
      <c r="S168"/>
      <c r="T168"/>
      <c r="U168"/>
      <c r="V168"/>
      <c r="W168">
        <v>18</v>
      </c>
    </row>
    <row r="169" spans="1:23">
      <c r="A169"/>
      <c r="B169" t="s">
        <v>106</v>
      </c>
      <c r="C169" t="s">
        <v>106</v>
      </c>
      <c r="D169" t="s">
        <v>33</v>
      </c>
      <c r="E169" t="s">
        <v>34</v>
      </c>
      <c r="F169" t="str">
        <f>"0008222"</f>
        <v>0008222</v>
      </c>
      <c r="G169">
        <v>1</v>
      </c>
      <c r="H169" t="str">
        <f>"00000001"</f>
        <v>00000001</v>
      </c>
      <c r="I169" t="s">
        <v>35</v>
      </c>
      <c r="J169"/>
      <c r="K169">
        <v>8.47</v>
      </c>
      <c r="L169">
        <v>0.0</v>
      </c>
      <c r="M169"/>
      <c r="N169"/>
      <c r="O169">
        <v>1.53</v>
      </c>
      <c r="P169">
        <v>0.0</v>
      </c>
      <c r="Q169">
        <v>10.0</v>
      </c>
      <c r="R169"/>
      <c r="S169"/>
      <c r="T169"/>
      <c r="U169"/>
      <c r="V169"/>
      <c r="W169">
        <v>18</v>
      </c>
    </row>
    <row r="170" spans="1:23">
      <c r="A170"/>
      <c r="B170" t="s">
        <v>106</v>
      </c>
      <c r="C170" t="s">
        <v>106</v>
      </c>
      <c r="D170" t="s">
        <v>33</v>
      </c>
      <c r="E170" t="s">
        <v>34</v>
      </c>
      <c r="F170" t="str">
        <f>"0008223"</f>
        <v>0008223</v>
      </c>
      <c r="G170">
        <v>1</v>
      </c>
      <c r="H170" t="str">
        <f>"00000001"</f>
        <v>00000001</v>
      </c>
      <c r="I170" t="s">
        <v>35</v>
      </c>
      <c r="J170"/>
      <c r="K170">
        <v>16.95</v>
      </c>
      <c r="L170">
        <v>0.0</v>
      </c>
      <c r="M170"/>
      <c r="N170"/>
      <c r="O170">
        <v>3.05</v>
      </c>
      <c r="P170">
        <v>0.0</v>
      </c>
      <c r="Q170">
        <v>20.0</v>
      </c>
      <c r="R170"/>
      <c r="S170"/>
      <c r="T170"/>
      <c r="U170"/>
      <c r="V170"/>
      <c r="W170">
        <v>18</v>
      </c>
    </row>
    <row r="171" spans="1:23">
      <c r="A171"/>
      <c r="B171" t="s">
        <v>106</v>
      </c>
      <c r="C171" t="s">
        <v>106</v>
      </c>
      <c r="D171" t="s">
        <v>33</v>
      </c>
      <c r="E171" t="s">
        <v>34</v>
      </c>
      <c r="F171" t="str">
        <f>"0008224"</f>
        <v>0008224</v>
      </c>
      <c r="G171">
        <v>1</v>
      </c>
      <c r="H171" t="str">
        <f>"00000001"</f>
        <v>00000001</v>
      </c>
      <c r="I171" t="s">
        <v>35</v>
      </c>
      <c r="J171"/>
      <c r="K171">
        <v>16.95</v>
      </c>
      <c r="L171">
        <v>0.0</v>
      </c>
      <c r="M171"/>
      <c r="N171"/>
      <c r="O171">
        <v>3.05</v>
      </c>
      <c r="P171">
        <v>0.0</v>
      </c>
      <c r="Q171">
        <v>20.0</v>
      </c>
      <c r="R171"/>
      <c r="S171"/>
      <c r="T171"/>
      <c r="U171"/>
      <c r="V171"/>
      <c r="W171">
        <v>18</v>
      </c>
    </row>
    <row r="172" spans="1:23">
      <c r="A172"/>
      <c r="B172" t="s">
        <v>106</v>
      </c>
      <c r="C172" t="s">
        <v>106</v>
      </c>
      <c r="D172" t="s">
        <v>33</v>
      </c>
      <c r="E172" t="s">
        <v>34</v>
      </c>
      <c r="F172" t="str">
        <f>"0008225"</f>
        <v>0008225</v>
      </c>
      <c r="G172">
        <v>1</v>
      </c>
      <c r="H172" t="str">
        <f>"000000SC"</f>
        <v>000000SC</v>
      </c>
      <c r="I172" t="s">
        <v>46</v>
      </c>
      <c r="J172"/>
      <c r="K172">
        <v>25.42</v>
      </c>
      <c r="L172">
        <v>0.0</v>
      </c>
      <c r="M172"/>
      <c r="N172"/>
      <c r="O172">
        <v>4.58</v>
      </c>
      <c r="P172">
        <v>0.0</v>
      </c>
      <c r="Q172">
        <v>30.0</v>
      </c>
      <c r="R172"/>
      <c r="S172"/>
      <c r="T172"/>
      <c r="U172"/>
      <c r="V172"/>
      <c r="W172">
        <v>18</v>
      </c>
    </row>
    <row r="173" spans="1:23">
      <c r="A173"/>
      <c r="B173" t="s">
        <v>106</v>
      </c>
      <c r="C173" t="s">
        <v>106</v>
      </c>
      <c r="D173" t="s">
        <v>33</v>
      </c>
      <c r="E173" t="s">
        <v>34</v>
      </c>
      <c r="F173" t="str">
        <f>"0008226"</f>
        <v>0008226</v>
      </c>
      <c r="G173">
        <v>1</v>
      </c>
      <c r="H173" t="str">
        <f>"00000001"</f>
        <v>00000001</v>
      </c>
      <c r="I173" t="s">
        <v>35</v>
      </c>
      <c r="J173"/>
      <c r="K173">
        <v>152.51</v>
      </c>
      <c r="L173">
        <v>0.0</v>
      </c>
      <c r="M173"/>
      <c r="N173"/>
      <c r="O173">
        <v>27.45</v>
      </c>
      <c r="P173">
        <v>0.0</v>
      </c>
      <c r="Q173">
        <v>179.96</v>
      </c>
      <c r="R173"/>
      <c r="S173"/>
      <c r="T173"/>
      <c r="U173"/>
      <c r="V173"/>
      <c r="W173">
        <v>18</v>
      </c>
    </row>
    <row r="174" spans="1:23">
      <c r="A174"/>
      <c r="B174" t="s">
        <v>107</v>
      </c>
      <c r="C174" t="s">
        <v>107</v>
      </c>
      <c r="D174" t="s">
        <v>33</v>
      </c>
      <c r="E174" t="s">
        <v>34</v>
      </c>
      <c r="F174" t="str">
        <f>"0008227"</f>
        <v>0008227</v>
      </c>
      <c r="G174">
        <v>1</v>
      </c>
      <c r="H174" t="str">
        <f>"00000001"</f>
        <v>00000001</v>
      </c>
      <c r="I174" t="s">
        <v>35</v>
      </c>
      <c r="J174"/>
      <c r="K174">
        <v>59.32</v>
      </c>
      <c r="L174">
        <v>0.0</v>
      </c>
      <c r="M174"/>
      <c r="N174"/>
      <c r="O174">
        <v>10.68</v>
      </c>
      <c r="P174">
        <v>0.0</v>
      </c>
      <c r="Q174">
        <v>70.0</v>
      </c>
      <c r="R174"/>
      <c r="S174"/>
      <c r="T174"/>
      <c r="U174"/>
      <c r="V174"/>
      <c r="W174">
        <v>18</v>
      </c>
    </row>
    <row r="175" spans="1:23">
      <c r="A175"/>
      <c r="B175" t="s">
        <v>107</v>
      </c>
      <c r="C175" t="s">
        <v>107</v>
      </c>
      <c r="D175" t="s">
        <v>33</v>
      </c>
      <c r="E175" t="s">
        <v>34</v>
      </c>
      <c r="F175" t="str">
        <f>"0008228"</f>
        <v>0008228</v>
      </c>
      <c r="G175">
        <v>1</v>
      </c>
      <c r="H175" t="str">
        <f>"00000001"</f>
        <v>00000001</v>
      </c>
      <c r="I175" t="s">
        <v>35</v>
      </c>
      <c r="J175"/>
      <c r="K175">
        <v>18.64</v>
      </c>
      <c r="L175">
        <v>0.0</v>
      </c>
      <c r="M175"/>
      <c r="N175"/>
      <c r="O175">
        <v>3.36</v>
      </c>
      <c r="P175">
        <v>0.0</v>
      </c>
      <c r="Q175">
        <v>22.0</v>
      </c>
      <c r="R175"/>
      <c r="S175"/>
      <c r="T175"/>
      <c r="U175"/>
      <c r="V175"/>
      <c r="W175">
        <v>18</v>
      </c>
    </row>
    <row r="176" spans="1:23">
      <c r="A176"/>
      <c r="B176" t="s">
        <v>107</v>
      </c>
      <c r="C176" t="s">
        <v>107</v>
      </c>
      <c r="D176" t="s">
        <v>33</v>
      </c>
      <c r="E176" t="s">
        <v>34</v>
      </c>
      <c r="F176" t="str">
        <f>"0008229"</f>
        <v>0008229</v>
      </c>
      <c r="G176">
        <v>1</v>
      </c>
      <c r="H176" t="str">
        <f>"00000001"</f>
        <v>00000001</v>
      </c>
      <c r="I176" t="s">
        <v>35</v>
      </c>
      <c r="J176"/>
      <c r="K176">
        <v>12.71</v>
      </c>
      <c r="L176">
        <v>0.0</v>
      </c>
      <c r="M176"/>
      <c r="N176"/>
      <c r="O176">
        <v>2.29</v>
      </c>
      <c r="P176">
        <v>0.0</v>
      </c>
      <c r="Q176">
        <v>15.0</v>
      </c>
      <c r="R176"/>
      <c r="S176"/>
      <c r="T176"/>
      <c r="U176"/>
      <c r="V176"/>
      <c r="W176">
        <v>18</v>
      </c>
    </row>
    <row r="177" spans="1:23">
      <c r="A177"/>
      <c r="B177" t="s">
        <v>107</v>
      </c>
      <c r="C177" t="s">
        <v>107</v>
      </c>
      <c r="D177" t="s">
        <v>33</v>
      </c>
      <c r="E177" t="s">
        <v>34</v>
      </c>
      <c r="F177" t="str">
        <f>"0008230"</f>
        <v>0008230</v>
      </c>
      <c r="G177">
        <v>1</v>
      </c>
      <c r="H177" t="str">
        <f>"00000001"</f>
        <v>00000001</v>
      </c>
      <c r="I177" t="s">
        <v>35</v>
      </c>
      <c r="J177"/>
      <c r="K177">
        <v>152.54</v>
      </c>
      <c r="L177">
        <v>0.0</v>
      </c>
      <c r="M177"/>
      <c r="N177"/>
      <c r="O177">
        <v>27.46</v>
      </c>
      <c r="P177">
        <v>0.0</v>
      </c>
      <c r="Q177">
        <v>180.0</v>
      </c>
      <c r="R177"/>
      <c r="S177"/>
      <c r="T177"/>
      <c r="U177"/>
      <c r="V177"/>
      <c r="W177">
        <v>18</v>
      </c>
    </row>
    <row r="178" spans="1:23">
      <c r="A178"/>
      <c r="B178" t="s">
        <v>107</v>
      </c>
      <c r="C178" t="s">
        <v>107</v>
      </c>
      <c r="D178" t="s">
        <v>37</v>
      </c>
      <c r="E178" t="s">
        <v>38</v>
      </c>
      <c r="F178" t="str">
        <f>"0000575"</f>
        <v>0000575</v>
      </c>
      <c r="G178">
        <v>6</v>
      </c>
      <c r="H178" t="str">
        <f>"20495975097"</f>
        <v>20495975097</v>
      </c>
      <c r="I178" t="s">
        <v>108</v>
      </c>
      <c r="J178"/>
      <c r="K178">
        <v>5.08</v>
      </c>
      <c r="L178">
        <v>0.0</v>
      </c>
      <c r="M178"/>
      <c r="N178"/>
      <c r="O178">
        <v>0.92</v>
      </c>
      <c r="P178">
        <v>0.0</v>
      </c>
      <c r="Q178">
        <v>6.0</v>
      </c>
      <c r="R178"/>
      <c r="S178"/>
      <c r="T178"/>
      <c r="U178"/>
      <c r="V178"/>
      <c r="W178">
        <v>18</v>
      </c>
    </row>
    <row r="179" spans="1:23">
      <c r="A179"/>
      <c r="B179" t="s">
        <v>107</v>
      </c>
      <c r="C179" t="s">
        <v>107</v>
      </c>
      <c r="D179" t="s">
        <v>37</v>
      </c>
      <c r="E179" t="s">
        <v>38</v>
      </c>
      <c r="F179" t="str">
        <f>"0000576"</f>
        <v>0000576</v>
      </c>
      <c r="G179">
        <v>6</v>
      </c>
      <c r="H179" t="str">
        <f>"10275402741"</f>
        <v>10275402741</v>
      </c>
      <c r="I179" t="s">
        <v>109</v>
      </c>
      <c r="J179"/>
      <c r="K179">
        <v>83.47</v>
      </c>
      <c r="L179">
        <v>0.0</v>
      </c>
      <c r="M179"/>
      <c r="N179"/>
      <c r="O179">
        <v>15.03</v>
      </c>
      <c r="P179">
        <v>0.0</v>
      </c>
      <c r="Q179">
        <v>98.5</v>
      </c>
      <c r="R179"/>
      <c r="S179"/>
      <c r="T179"/>
      <c r="U179"/>
      <c r="V179"/>
      <c r="W179">
        <v>18</v>
      </c>
    </row>
    <row r="180" spans="1:23">
      <c r="A180"/>
      <c r="B180" t="s">
        <v>107</v>
      </c>
      <c r="C180" t="s">
        <v>107</v>
      </c>
      <c r="D180" t="s">
        <v>33</v>
      </c>
      <c r="E180" t="s">
        <v>34</v>
      </c>
      <c r="F180" t="str">
        <f>"0008231"</f>
        <v>0008231</v>
      </c>
      <c r="G180">
        <v>1</v>
      </c>
      <c r="H180" t="str">
        <f>"00000001"</f>
        <v>00000001</v>
      </c>
      <c r="I180" t="s">
        <v>35</v>
      </c>
      <c r="J180"/>
      <c r="K180">
        <v>5.08</v>
      </c>
      <c r="L180">
        <v>0.0</v>
      </c>
      <c r="M180"/>
      <c r="N180"/>
      <c r="O180">
        <v>0.92</v>
      </c>
      <c r="P180">
        <v>0.0</v>
      </c>
      <c r="Q180">
        <v>6.0</v>
      </c>
      <c r="R180"/>
      <c r="S180"/>
      <c r="T180"/>
      <c r="U180"/>
      <c r="V180"/>
      <c r="W180">
        <v>18</v>
      </c>
    </row>
    <row r="181" spans="1:23">
      <c r="A181"/>
      <c r="B181" t="s">
        <v>107</v>
      </c>
      <c r="C181" t="s">
        <v>107</v>
      </c>
      <c r="D181" t="s">
        <v>33</v>
      </c>
      <c r="E181" t="s">
        <v>34</v>
      </c>
      <c r="F181" t="str">
        <f>"0008232"</f>
        <v>0008232</v>
      </c>
      <c r="G181">
        <v>1</v>
      </c>
      <c r="H181" t="str">
        <f>"00000001"</f>
        <v>00000001</v>
      </c>
      <c r="I181" t="s">
        <v>35</v>
      </c>
      <c r="J181"/>
      <c r="K181">
        <v>5.08</v>
      </c>
      <c r="L181">
        <v>0.0</v>
      </c>
      <c r="M181"/>
      <c r="N181"/>
      <c r="O181">
        <v>0.92</v>
      </c>
      <c r="P181">
        <v>0.0</v>
      </c>
      <c r="Q181">
        <v>6.0</v>
      </c>
      <c r="R181"/>
      <c r="S181"/>
      <c r="T181"/>
      <c r="U181"/>
      <c r="V181"/>
      <c r="W181">
        <v>18</v>
      </c>
    </row>
    <row r="182" spans="1:23">
      <c r="A182"/>
      <c r="B182" t="s">
        <v>107</v>
      </c>
      <c r="C182" t="s">
        <v>107</v>
      </c>
      <c r="D182" t="s">
        <v>33</v>
      </c>
      <c r="E182" t="s">
        <v>34</v>
      </c>
      <c r="F182" t="str">
        <f>"0008233"</f>
        <v>0008233</v>
      </c>
      <c r="G182">
        <v>1</v>
      </c>
      <c r="H182" t="str">
        <f>"00000001"</f>
        <v>00000001</v>
      </c>
      <c r="I182" t="s">
        <v>35</v>
      </c>
      <c r="J182"/>
      <c r="K182">
        <v>11.44</v>
      </c>
      <c r="L182">
        <v>0.0</v>
      </c>
      <c r="M182"/>
      <c r="N182"/>
      <c r="O182">
        <v>2.06</v>
      </c>
      <c r="P182">
        <v>0.0</v>
      </c>
      <c r="Q182">
        <v>13.5</v>
      </c>
      <c r="R182"/>
      <c r="S182"/>
      <c r="T182"/>
      <c r="U182"/>
      <c r="V182"/>
      <c r="W182">
        <v>18</v>
      </c>
    </row>
    <row r="183" spans="1:23">
      <c r="A183"/>
      <c r="B183" t="s">
        <v>107</v>
      </c>
      <c r="C183" t="s">
        <v>107</v>
      </c>
      <c r="D183" t="s">
        <v>33</v>
      </c>
      <c r="E183" t="s">
        <v>34</v>
      </c>
      <c r="F183" t="str">
        <f>"0008234"</f>
        <v>0008234</v>
      </c>
      <c r="G183">
        <v>1</v>
      </c>
      <c r="H183" t="str">
        <f>"00000001"</f>
        <v>00000001</v>
      </c>
      <c r="I183" t="s">
        <v>35</v>
      </c>
      <c r="J183"/>
      <c r="K183">
        <v>8.47</v>
      </c>
      <c r="L183">
        <v>0.0</v>
      </c>
      <c r="M183"/>
      <c r="N183"/>
      <c r="O183">
        <v>1.53</v>
      </c>
      <c r="P183">
        <v>0.0</v>
      </c>
      <c r="Q183">
        <v>10.0</v>
      </c>
      <c r="R183"/>
      <c r="S183"/>
      <c r="T183"/>
      <c r="U183"/>
      <c r="V183"/>
      <c r="W183">
        <v>18</v>
      </c>
    </row>
    <row r="184" spans="1:23">
      <c r="A184"/>
      <c r="B184" t="s">
        <v>107</v>
      </c>
      <c r="C184" t="s">
        <v>107</v>
      </c>
      <c r="D184" t="s">
        <v>33</v>
      </c>
      <c r="E184" t="s">
        <v>34</v>
      </c>
      <c r="F184" t="str">
        <f>"0008235"</f>
        <v>0008235</v>
      </c>
      <c r="G184">
        <v>1</v>
      </c>
      <c r="H184" t="str">
        <f>"00000001"</f>
        <v>00000001</v>
      </c>
      <c r="I184" t="s">
        <v>35</v>
      </c>
      <c r="J184"/>
      <c r="K184">
        <v>8.47</v>
      </c>
      <c r="L184">
        <v>0.0</v>
      </c>
      <c r="M184"/>
      <c r="N184"/>
      <c r="O184">
        <v>1.53</v>
      </c>
      <c r="P184">
        <v>0.0</v>
      </c>
      <c r="Q184">
        <v>10.0</v>
      </c>
      <c r="R184"/>
      <c r="S184"/>
      <c r="T184"/>
      <c r="U184"/>
      <c r="V184"/>
      <c r="W184">
        <v>18</v>
      </c>
    </row>
    <row r="185" spans="1:23">
      <c r="A185"/>
      <c r="B185" t="s">
        <v>107</v>
      </c>
      <c r="C185" t="s">
        <v>107</v>
      </c>
      <c r="D185" t="s">
        <v>33</v>
      </c>
      <c r="E185" t="s">
        <v>34</v>
      </c>
      <c r="F185" t="str">
        <f>"0008236"</f>
        <v>0008236</v>
      </c>
      <c r="G185">
        <v>1</v>
      </c>
      <c r="H185" t="str">
        <f>"00000001"</f>
        <v>00000001</v>
      </c>
      <c r="I185" t="s">
        <v>35</v>
      </c>
      <c r="J185"/>
      <c r="K185">
        <v>13.56</v>
      </c>
      <c r="L185">
        <v>0.0</v>
      </c>
      <c r="M185"/>
      <c r="N185"/>
      <c r="O185">
        <v>2.44</v>
      </c>
      <c r="P185">
        <v>0.0</v>
      </c>
      <c r="Q185">
        <v>16.0</v>
      </c>
      <c r="R185"/>
      <c r="S185"/>
      <c r="T185"/>
      <c r="U185"/>
      <c r="V185"/>
      <c r="W185">
        <v>18</v>
      </c>
    </row>
    <row r="186" spans="1:23">
      <c r="A186"/>
      <c r="B186" t="s">
        <v>107</v>
      </c>
      <c r="C186" t="s">
        <v>107</v>
      </c>
      <c r="D186" t="s">
        <v>33</v>
      </c>
      <c r="E186" t="s">
        <v>34</v>
      </c>
      <c r="F186" t="str">
        <f>"0008237"</f>
        <v>0008237</v>
      </c>
      <c r="G186">
        <v>1</v>
      </c>
      <c r="H186" t="str">
        <f>"00000001"</f>
        <v>00000001</v>
      </c>
      <c r="I186" t="s">
        <v>35</v>
      </c>
      <c r="J186"/>
      <c r="K186">
        <v>19.49</v>
      </c>
      <c r="L186">
        <v>0.0</v>
      </c>
      <c r="M186"/>
      <c r="N186"/>
      <c r="O186">
        <v>3.51</v>
      </c>
      <c r="P186">
        <v>0.0</v>
      </c>
      <c r="Q186">
        <v>23.0</v>
      </c>
      <c r="R186"/>
      <c r="S186"/>
      <c r="T186"/>
      <c r="U186"/>
      <c r="V186"/>
      <c r="W186">
        <v>18</v>
      </c>
    </row>
    <row r="187" spans="1:23">
      <c r="A187"/>
      <c r="B187" t="s">
        <v>107</v>
      </c>
      <c r="C187" t="s">
        <v>107</v>
      </c>
      <c r="D187" t="s">
        <v>33</v>
      </c>
      <c r="E187" t="s">
        <v>34</v>
      </c>
      <c r="F187" t="str">
        <f>"0008238"</f>
        <v>0008238</v>
      </c>
      <c r="G187">
        <v>1</v>
      </c>
      <c r="H187" t="str">
        <f>"00000001"</f>
        <v>00000001</v>
      </c>
      <c r="I187" t="s">
        <v>35</v>
      </c>
      <c r="J187"/>
      <c r="K187">
        <v>33.9</v>
      </c>
      <c r="L187">
        <v>0.0</v>
      </c>
      <c r="M187"/>
      <c r="N187"/>
      <c r="O187">
        <v>6.1</v>
      </c>
      <c r="P187">
        <v>0.0</v>
      </c>
      <c r="Q187">
        <v>40.0</v>
      </c>
      <c r="R187"/>
      <c r="S187"/>
      <c r="T187"/>
      <c r="U187"/>
      <c r="V187"/>
      <c r="W187">
        <v>18</v>
      </c>
    </row>
    <row r="188" spans="1:23">
      <c r="A188"/>
      <c r="B188" t="s">
        <v>107</v>
      </c>
      <c r="C188" t="s">
        <v>107</v>
      </c>
      <c r="D188" t="s">
        <v>33</v>
      </c>
      <c r="E188" t="s">
        <v>34</v>
      </c>
      <c r="F188" t="str">
        <f>"0008239"</f>
        <v>0008239</v>
      </c>
      <c r="G188">
        <v>1</v>
      </c>
      <c r="H188" t="str">
        <f>"00000001"</f>
        <v>00000001</v>
      </c>
      <c r="I188" t="s">
        <v>35</v>
      </c>
      <c r="J188"/>
      <c r="K188">
        <v>3.39</v>
      </c>
      <c r="L188">
        <v>0.0</v>
      </c>
      <c r="M188"/>
      <c r="N188"/>
      <c r="O188">
        <v>0.61</v>
      </c>
      <c r="P188">
        <v>0.0</v>
      </c>
      <c r="Q188">
        <v>4.0</v>
      </c>
      <c r="R188"/>
      <c r="S188"/>
      <c r="T188"/>
      <c r="U188"/>
      <c r="V188"/>
      <c r="W188">
        <v>18</v>
      </c>
    </row>
    <row r="189" spans="1:23">
      <c r="A189"/>
      <c r="B189" t="s">
        <v>110</v>
      </c>
      <c r="C189" t="s">
        <v>110</v>
      </c>
      <c r="D189" t="s">
        <v>33</v>
      </c>
      <c r="E189" t="s">
        <v>34</v>
      </c>
      <c r="F189" t="str">
        <f>"0008240"</f>
        <v>0008240</v>
      </c>
      <c r="G189">
        <v>1</v>
      </c>
      <c r="H189" t="str">
        <f>"00000001"</f>
        <v>00000001</v>
      </c>
      <c r="I189" t="s">
        <v>35</v>
      </c>
      <c r="J189"/>
      <c r="K189">
        <v>12.71</v>
      </c>
      <c r="L189">
        <v>0.0</v>
      </c>
      <c r="M189"/>
      <c r="N189"/>
      <c r="O189">
        <v>2.29</v>
      </c>
      <c r="P189">
        <v>0.0</v>
      </c>
      <c r="Q189">
        <v>15.0</v>
      </c>
      <c r="R189"/>
      <c r="S189"/>
      <c r="T189"/>
      <c r="U189"/>
      <c r="V189"/>
      <c r="W189">
        <v>18</v>
      </c>
    </row>
    <row r="190" spans="1:23">
      <c r="A190"/>
      <c r="B190" t="s">
        <v>110</v>
      </c>
      <c r="C190" t="s">
        <v>110</v>
      </c>
      <c r="D190" t="s">
        <v>33</v>
      </c>
      <c r="E190" t="s">
        <v>34</v>
      </c>
      <c r="F190" t="str">
        <f>"0008241"</f>
        <v>0008241</v>
      </c>
      <c r="G190">
        <v>1</v>
      </c>
      <c r="H190" t="str">
        <f>"00000001"</f>
        <v>00000001</v>
      </c>
      <c r="I190" t="s">
        <v>35</v>
      </c>
      <c r="J190"/>
      <c r="K190">
        <v>9.32</v>
      </c>
      <c r="L190">
        <v>0.0</v>
      </c>
      <c r="M190"/>
      <c r="N190"/>
      <c r="O190">
        <v>1.68</v>
      </c>
      <c r="P190">
        <v>0.0</v>
      </c>
      <c r="Q190">
        <v>11.0</v>
      </c>
      <c r="R190"/>
      <c r="S190"/>
      <c r="T190"/>
      <c r="U190"/>
      <c r="V190"/>
      <c r="W190">
        <v>18</v>
      </c>
    </row>
    <row r="191" spans="1:23">
      <c r="A191"/>
      <c r="B191" t="s">
        <v>110</v>
      </c>
      <c r="C191" t="s">
        <v>110</v>
      </c>
      <c r="D191" t="s">
        <v>33</v>
      </c>
      <c r="E191" t="s">
        <v>34</v>
      </c>
      <c r="F191" t="str">
        <f>"0008242"</f>
        <v>0008242</v>
      </c>
      <c r="G191">
        <v>1</v>
      </c>
      <c r="H191" t="str">
        <f>"00000001"</f>
        <v>00000001</v>
      </c>
      <c r="I191" t="s">
        <v>35</v>
      </c>
      <c r="J191"/>
      <c r="K191">
        <v>21.19</v>
      </c>
      <c r="L191">
        <v>0.0</v>
      </c>
      <c r="M191"/>
      <c r="N191"/>
      <c r="O191">
        <v>3.81</v>
      </c>
      <c r="P191">
        <v>0.0</v>
      </c>
      <c r="Q191">
        <v>25.0</v>
      </c>
      <c r="R191"/>
      <c r="S191"/>
      <c r="T191"/>
      <c r="U191"/>
      <c r="V191"/>
      <c r="W191">
        <v>18</v>
      </c>
    </row>
    <row r="192" spans="1:23">
      <c r="A192"/>
      <c r="B192" t="s">
        <v>110</v>
      </c>
      <c r="C192" t="s">
        <v>110</v>
      </c>
      <c r="D192" t="s">
        <v>33</v>
      </c>
      <c r="E192" t="s">
        <v>34</v>
      </c>
      <c r="F192" t="str">
        <f>"0008243"</f>
        <v>0008243</v>
      </c>
      <c r="G192">
        <v>1</v>
      </c>
      <c r="H192" t="str">
        <f>"00000001"</f>
        <v>00000001</v>
      </c>
      <c r="I192" t="s">
        <v>35</v>
      </c>
      <c r="J192"/>
      <c r="K192">
        <v>5.51</v>
      </c>
      <c r="L192">
        <v>0.0</v>
      </c>
      <c r="M192"/>
      <c r="N192"/>
      <c r="O192">
        <v>0.99</v>
      </c>
      <c r="P192">
        <v>0.0</v>
      </c>
      <c r="Q192">
        <v>6.5</v>
      </c>
      <c r="R192"/>
      <c r="S192"/>
      <c r="T192"/>
      <c r="U192"/>
      <c r="V192"/>
      <c r="W192">
        <v>18</v>
      </c>
    </row>
    <row r="193" spans="1:23">
      <c r="A193"/>
      <c r="B193" t="s">
        <v>110</v>
      </c>
      <c r="C193" t="s">
        <v>110</v>
      </c>
      <c r="D193" t="s">
        <v>33</v>
      </c>
      <c r="E193" t="s">
        <v>34</v>
      </c>
      <c r="F193" t="str">
        <f>"0008244"</f>
        <v>0008244</v>
      </c>
      <c r="G193">
        <v>1</v>
      </c>
      <c r="H193" t="str">
        <f>"00000001"</f>
        <v>00000001</v>
      </c>
      <c r="I193" t="s">
        <v>35</v>
      </c>
      <c r="J193"/>
      <c r="K193">
        <v>2.54</v>
      </c>
      <c r="L193">
        <v>0.0</v>
      </c>
      <c r="M193"/>
      <c r="N193"/>
      <c r="O193">
        <v>0.46</v>
      </c>
      <c r="P193">
        <v>0.0</v>
      </c>
      <c r="Q193">
        <v>3.0</v>
      </c>
      <c r="R193"/>
      <c r="S193"/>
      <c r="T193"/>
      <c r="U193"/>
      <c r="V193"/>
      <c r="W193">
        <v>18</v>
      </c>
    </row>
    <row r="194" spans="1:23">
      <c r="A194"/>
      <c r="B194" t="s">
        <v>110</v>
      </c>
      <c r="C194" t="s">
        <v>110</v>
      </c>
      <c r="D194" t="s">
        <v>33</v>
      </c>
      <c r="E194" t="s">
        <v>34</v>
      </c>
      <c r="F194" t="str">
        <f>"0008245"</f>
        <v>0008245</v>
      </c>
      <c r="G194">
        <v>1</v>
      </c>
      <c r="H194" t="str">
        <f>"00000001"</f>
        <v>00000001</v>
      </c>
      <c r="I194" t="s">
        <v>35</v>
      </c>
      <c r="J194"/>
      <c r="K194">
        <v>7.2</v>
      </c>
      <c r="L194">
        <v>0.0</v>
      </c>
      <c r="M194"/>
      <c r="N194"/>
      <c r="O194">
        <v>1.3</v>
      </c>
      <c r="P194">
        <v>0.0</v>
      </c>
      <c r="Q194">
        <v>8.5</v>
      </c>
      <c r="R194"/>
      <c r="S194"/>
      <c r="T194"/>
      <c r="U194"/>
      <c r="V194"/>
      <c r="W194">
        <v>18</v>
      </c>
    </row>
    <row r="195" spans="1:23">
      <c r="A195"/>
      <c r="B195" t="s">
        <v>110</v>
      </c>
      <c r="C195" t="s">
        <v>110</v>
      </c>
      <c r="D195" t="s">
        <v>33</v>
      </c>
      <c r="E195" t="s">
        <v>34</v>
      </c>
      <c r="F195" t="str">
        <f>"0008246"</f>
        <v>0008246</v>
      </c>
      <c r="G195">
        <v>1</v>
      </c>
      <c r="H195" t="str">
        <f>"0000CSVC"</f>
        <v>0000CSVC</v>
      </c>
      <c r="I195" t="s">
        <v>58</v>
      </c>
      <c r="J195"/>
      <c r="K195">
        <v>9.75</v>
      </c>
      <c r="L195">
        <v>0.0</v>
      </c>
      <c r="M195"/>
      <c r="N195"/>
      <c r="O195">
        <v>1.75</v>
      </c>
      <c r="P195">
        <v>0.0</v>
      </c>
      <c r="Q195">
        <v>11.5</v>
      </c>
      <c r="R195"/>
      <c r="S195"/>
      <c r="T195"/>
      <c r="U195"/>
      <c r="V195"/>
      <c r="W195">
        <v>18</v>
      </c>
    </row>
    <row r="196" spans="1:23">
      <c r="A196"/>
      <c r="B196" t="s">
        <v>110</v>
      </c>
      <c r="C196" t="s">
        <v>110</v>
      </c>
      <c r="D196" t="s">
        <v>33</v>
      </c>
      <c r="E196" t="s">
        <v>34</v>
      </c>
      <c r="F196" t="str">
        <f>"0008247"</f>
        <v>0008247</v>
      </c>
      <c r="G196">
        <v>6</v>
      </c>
      <c r="H196" t="str">
        <f>"20146796347"</f>
        <v>20146796347</v>
      </c>
      <c r="I196" t="s">
        <v>47</v>
      </c>
      <c r="J196"/>
      <c r="K196">
        <v>19.49</v>
      </c>
      <c r="L196">
        <v>0.0</v>
      </c>
      <c r="M196"/>
      <c r="N196"/>
      <c r="O196">
        <v>3.51</v>
      </c>
      <c r="P196">
        <v>0.0</v>
      </c>
      <c r="Q196">
        <v>23.0</v>
      </c>
      <c r="R196"/>
      <c r="S196"/>
      <c r="T196"/>
      <c r="U196"/>
      <c r="V196"/>
      <c r="W196">
        <v>18</v>
      </c>
    </row>
    <row r="197" spans="1:23">
      <c r="A197"/>
      <c r="B197" t="s">
        <v>110</v>
      </c>
      <c r="C197" t="s">
        <v>110</v>
      </c>
      <c r="D197" t="s">
        <v>33</v>
      </c>
      <c r="E197" t="s">
        <v>34</v>
      </c>
      <c r="F197" t="str">
        <f>"0008248"</f>
        <v>0008248</v>
      </c>
      <c r="G197">
        <v>1</v>
      </c>
      <c r="H197" t="str">
        <f>"43627276"</f>
        <v>43627276</v>
      </c>
      <c r="I197" t="s">
        <v>111</v>
      </c>
      <c r="J197"/>
      <c r="K197">
        <v>25.42</v>
      </c>
      <c r="L197">
        <v>0.0</v>
      </c>
      <c r="M197"/>
      <c r="N197"/>
      <c r="O197">
        <v>4.58</v>
      </c>
      <c r="P197">
        <v>0.0</v>
      </c>
      <c r="Q197">
        <v>30.0</v>
      </c>
      <c r="R197"/>
      <c r="S197"/>
      <c r="T197"/>
      <c r="U197"/>
      <c r="V197"/>
      <c r="W197">
        <v>18</v>
      </c>
    </row>
    <row r="198" spans="1:23">
      <c r="A198"/>
      <c r="B198" t="s">
        <v>110</v>
      </c>
      <c r="C198" t="s">
        <v>110</v>
      </c>
      <c r="D198" t="s">
        <v>33</v>
      </c>
      <c r="E198" t="s">
        <v>34</v>
      </c>
      <c r="F198" t="str">
        <f>"0008249"</f>
        <v>0008249</v>
      </c>
      <c r="G198">
        <v>6</v>
      </c>
      <c r="H198" t="str">
        <f>"10757604685"</f>
        <v>10757604685</v>
      </c>
      <c r="I198" t="s">
        <v>112</v>
      </c>
      <c r="J198"/>
      <c r="K198">
        <v>4.24</v>
      </c>
      <c r="L198">
        <v>0.0</v>
      </c>
      <c r="M198"/>
      <c r="N198"/>
      <c r="O198">
        <v>0.76</v>
      </c>
      <c r="P198">
        <v>0.0</v>
      </c>
      <c r="Q198">
        <v>5.0</v>
      </c>
      <c r="R198"/>
      <c r="S198"/>
      <c r="T198"/>
      <c r="U198"/>
      <c r="V198"/>
      <c r="W198">
        <v>18</v>
      </c>
    </row>
    <row r="199" spans="1:23">
      <c r="A199"/>
      <c r="B199" t="s">
        <v>110</v>
      </c>
      <c r="C199" t="s">
        <v>110</v>
      </c>
      <c r="D199" t="s">
        <v>33</v>
      </c>
      <c r="E199" t="s">
        <v>34</v>
      </c>
      <c r="F199" t="str">
        <f>"0008250"</f>
        <v>0008250</v>
      </c>
      <c r="G199">
        <v>1</v>
      </c>
      <c r="H199" t="str">
        <f>"000000SC"</f>
        <v>000000SC</v>
      </c>
      <c r="I199" t="s">
        <v>46</v>
      </c>
      <c r="J199"/>
      <c r="K199">
        <v>13.56</v>
      </c>
      <c r="L199">
        <v>0.0</v>
      </c>
      <c r="M199"/>
      <c r="N199"/>
      <c r="O199">
        <v>2.44</v>
      </c>
      <c r="P199">
        <v>0.0</v>
      </c>
      <c r="Q199">
        <v>16.0</v>
      </c>
      <c r="R199"/>
      <c r="S199"/>
      <c r="T199"/>
      <c r="U199"/>
      <c r="V199"/>
      <c r="W199">
        <v>18</v>
      </c>
    </row>
    <row r="200" spans="1:23">
      <c r="A200"/>
      <c r="B200" t="s">
        <v>110</v>
      </c>
      <c r="C200" t="s">
        <v>110</v>
      </c>
      <c r="D200" t="s">
        <v>33</v>
      </c>
      <c r="E200" t="s">
        <v>34</v>
      </c>
      <c r="F200" t="str">
        <f>"0008251"</f>
        <v>0008251</v>
      </c>
      <c r="G200">
        <v>6</v>
      </c>
      <c r="H200" t="str">
        <f>"20606389478"</f>
        <v>20606389478</v>
      </c>
      <c r="I200" t="s">
        <v>80</v>
      </c>
      <c r="J200"/>
      <c r="K200">
        <v>11.86</v>
      </c>
      <c r="L200">
        <v>0.0</v>
      </c>
      <c r="M200"/>
      <c r="N200"/>
      <c r="O200">
        <v>2.14</v>
      </c>
      <c r="P200">
        <v>0.0</v>
      </c>
      <c r="Q200">
        <v>14.0</v>
      </c>
      <c r="R200"/>
      <c r="S200"/>
      <c r="T200"/>
      <c r="U200"/>
      <c r="V200"/>
      <c r="W200">
        <v>18</v>
      </c>
    </row>
    <row r="201" spans="1:23">
      <c r="A201"/>
      <c r="B201" t="s">
        <v>110</v>
      </c>
      <c r="C201" t="s">
        <v>110</v>
      </c>
      <c r="D201" t="s">
        <v>33</v>
      </c>
      <c r="E201" t="s">
        <v>34</v>
      </c>
      <c r="F201" t="str">
        <f>"0008252"</f>
        <v>0008252</v>
      </c>
      <c r="G201">
        <v>1</v>
      </c>
      <c r="H201" t="str">
        <f>"00082679"</f>
        <v>00082679</v>
      </c>
      <c r="I201" t="s">
        <v>113</v>
      </c>
      <c r="J201"/>
      <c r="K201">
        <v>152.54</v>
      </c>
      <c r="L201">
        <v>0.0</v>
      </c>
      <c r="M201"/>
      <c r="N201"/>
      <c r="O201">
        <v>27.46</v>
      </c>
      <c r="P201">
        <v>0.0</v>
      </c>
      <c r="Q201">
        <v>180.0</v>
      </c>
      <c r="R201"/>
      <c r="S201"/>
      <c r="T201"/>
      <c r="U201"/>
      <c r="V201"/>
      <c r="W201">
        <v>18</v>
      </c>
    </row>
    <row r="202" spans="1:23">
      <c r="A202"/>
      <c r="B202" t="s">
        <v>114</v>
      </c>
      <c r="C202" t="s">
        <v>114</v>
      </c>
      <c r="D202" t="s">
        <v>33</v>
      </c>
      <c r="E202" t="s">
        <v>34</v>
      </c>
      <c r="F202" t="str">
        <f>"0008253"</f>
        <v>0008253</v>
      </c>
      <c r="G202">
        <v>1</v>
      </c>
      <c r="H202" t="str">
        <f>"000000SC"</f>
        <v>000000SC</v>
      </c>
      <c r="I202" t="s">
        <v>46</v>
      </c>
      <c r="J202"/>
      <c r="K202">
        <v>127.12</v>
      </c>
      <c r="L202">
        <v>0.0</v>
      </c>
      <c r="M202"/>
      <c r="N202"/>
      <c r="O202">
        <v>22.88</v>
      </c>
      <c r="P202">
        <v>0.0</v>
      </c>
      <c r="Q202">
        <v>150.0</v>
      </c>
      <c r="R202"/>
      <c r="S202"/>
      <c r="T202"/>
      <c r="U202"/>
      <c r="V202"/>
      <c r="W202">
        <v>18</v>
      </c>
    </row>
    <row r="203" spans="1:23">
      <c r="A203"/>
      <c r="B203" t="s">
        <v>114</v>
      </c>
      <c r="C203" t="s">
        <v>114</v>
      </c>
      <c r="D203" t="s">
        <v>33</v>
      </c>
      <c r="E203" t="s">
        <v>34</v>
      </c>
      <c r="F203" t="str">
        <f>"0008254"</f>
        <v>0008254</v>
      </c>
      <c r="G203">
        <v>1</v>
      </c>
      <c r="H203" t="str">
        <f>"00000001"</f>
        <v>00000001</v>
      </c>
      <c r="I203" t="s">
        <v>35</v>
      </c>
      <c r="J203"/>
      <c r="K203">
        <v>38.14</v>
      </c>
      <c r="L203">
        <v>0.0</v>
      </c>
      <c r="M203"/>
      <c r="N203"/>
      <c r="O203">
        <v>6.86</v>
      </c>
      <c r="P203">
        <v>0.0</v>
      </c>
      <c r="Q203">
        <v>45.0</v>
      </c>
      <c r="R203"/>
      <c r="S203"/>
      <c r="T203"/>
      <c r="U203"/>
      <c r="V203"/>
      <c r="W203">
        <v>18</v>
      </c>
    </row>
    <row r="204" spans="1:23">
      <c r="A204"/>
      <c r="B204" t="s">
        <v>114</v>
      </c>
      <c r="C204" t="s">
        <v>114</v>
      </c>
      <c r="D204" t="s">
        <v>33</v>
      </c>
      <c r="E204" t="s">
        <v>34</v>
      </c>
      <c r="F204" t="str">
        <f>"0008255"</f>
        <v>0008255</v>
      </c>
      <c r="G204">
        <v>1</v>
      </c>
      <c r="H204" t="str">
        <f>"000000SC"</f>
        <v>000000SC</v>
      </c>
      <c r="I204" t="s">
        <v>46</v>
      </c>
      <c r="J204"/>
      <c r="K204">
        <v>33.9</v>
      </c>
      <c r="L204">
        <v>0.0</v>
      </c>
      <c r="M204"/>
      <c r="N204"/>
      <c r="O204">
        <v>6.1</v>
      </c>
      <c r="P204">
        <v>0.0</v>
      </c>
      <c r="Q204">
        <v>40.0</v>
      </c>
      <c r="R204"/>
      <c r="S204"/>
      <c r="T204"/>
      <c r="U204"/>
      <c r="V204"/>
      <c r="W204">
        <v>18</v>
      </c>
    </row>
    <row r="205" spans="1:23">
      <c r="A205"/>
      <c r="B205" t="s">
        <v>114</v>
      </c>
      <c r="C205" t="s">
        <v>114</v>
      </c>
      <c r="D205" t="s">
        <v>37</v>
      </c>
      <c r="E205" t="s">
        <v>38</v>
      </c>
      <c r="F205" t="str">
        <f>"0000577"</f>
        <v>0000577</v>
      </c>
      <c r="G205">
        <v>6</v>
      </c>
      <c r="H205" t="str">
        <f>"20602224181"</f>
        <v>20602224181</v>
      </c>
      <c r="I205" t="s">
        <v>115</v>
      </c>
      <c r="J205"/>
      <c r="K205">
        <v>82.2</v>
      </c>
      <c r="L205">
        <v>0.0</v>
      </c>
      <c r="M205"/>
      <c r="N205"/>
      <c r="O205">
        <v>14.8</v>
      </c>
      <c r="P205">
        <v>0.0</v>
      </c>
      <c r="Q205">
        <v>97.0</v>
      </c>
      <c r="R205"/>
      <c r="S205"/>
      <c r="T205"/>
      <c r="U205"/>
      <c r="V205"/>
      <c r="W205">
        <v>18</v>
      </c>
    </row>
    <row r="206" spans="1:23">
      <c r="A206"/>
      <c r="B206" t="s">
        <v>114</v>
      </c>
      <c r="C206" t="s">
        <v>114</v>
      </c>
      <c r="D206" t="s">
        <v>37</v>
      </c>
      <c r="E206" t="s">
        <v>38</v>
      </c>
      <c r="F206" t="str">
        <f>"0000578"</f>
        <v>0000578</v>
      </c>
      <c r="G206">
        <v>6</v>
      </c>
      <c r="H206" t="str">
        <f>"15552917992"</f>
        <v>15552917992</v>
      </c>
      <c r="I206" t="s">
        <v>116</v>
      </c>
      <c r="J206"/>
      <c r="K206">
        <v>40.68</v>
      </c>
      <c r="L206">
        <v>0.0</v>
      </c>
      <c r="M206"/>
      <c r="N206"/>
      <c r="O206">
        <v>7.32</v>
      </c>
      <c r="P206">
        <v>0.0</v>
      </c>
      <c r="Q206">
        <v>48.0</v>
      </c>
      <c r="R206"/>
      <c r="S206"/>
      <c r="T206"/>
      <c r="U206"/>
      <c r="V206"/>
      <c r="W206">
        <v>18</v>
      </c>
    </row>
    <row r="207" spans="1:23">
      <c r="A207"/>
      <c r="B207" t="s">
        <v>114</v>
      </c>
      <c r="C207" t="s">
        <v>114</v>
      </c>
      <c r="D207" t="s">
        <v>33</v>
      </c>
      <c r="E207" t="s">
        <v>34</v>
      </c>
      <c r="F207" t="str">
        <f>"0008256"</f>
        <v>0008256</v>
      </c>
      <c r="G207">
        <v>1</v>
      </c>
      <c r="H207" t="str">
        <f>"IEI40334"</f>
        <v>IEI40334</v>
      </c>
      <c r="I207" t="s">
        <v>117</v>
      </c>
      <c r="J207"/>
      <c r="K207">
        <v>11.44</v>
      </c>
      <c r="L207">
        <v>0.0</v>
      </c>
      <c r="M207"/>
      <c r="N207"/>
      <c r="O207">
        <v>2.06</v>
      </c>
      <c r="P207">
        <v>0.0</v>
      </c>
      <c r="Q207">
        <v>13.5</v>
      </c>
      <c r="R207"/>
      <c r="S207"/>
      <c r="T207"/>
      <c r="U207"/>
      <c r="V207"/>
      <c r="W207">
        <v>18</v>
      </c>
    </row>
    <row r="208" spans="1:23">
      <c r="A208"/>
      <c r="B208" t="s">
        <v>114</v>
      </c>
      <c r="C208" t="s">
        <v>114</v>
      </c>
      <c r="D208" t="s">
        <v>33</v>
      </c>
      <c r="E208" t="s">
        <v>34</v>
      </c>
      <c r="F208" t="str">
        <f>"0008257"</f>
        <v>0008257</v>
      </c>
      <c r="G208">
        <v>1</v>
      </c>
      <c r="H208" t="str">
        <f>"0000CSVC"</f>
        <v>0000CSVC</v>
      </c>
      <c r="I208" t="s">
        <v>58</v>
      </c>
      <c r="J208"/>
      <c r="K208">
        <v>8.9</v>
      </c>
      <c r="L208">
        <v>0.0</v>
      </c>
      <c r="M208"/>
      <c r="N208"/>
      <c r="O208">
        <v>1.6</v>
      </c>
      <c r="P208">
        <v>0.0</v>
      </c>
      <c r="Q208">
        <v>10.5</v>
      </c>
      <c r="R208"/>
      <c r="S208"/>
      <c r="T208"/>
      <c r="U208"/>
      <c r="V208"/>
      <c r="W208">
        <v>18</v>
      </c>
    </row>
    <row r="209" spans="1:23">
      <c r="A209"/>
      <c r="B209" t="s">
        <v>118</v>
      </c>
      <c r="C209" t="s">
        <v>118</v>
      </c>
      <c r="D209" t="s">
        <v>33</v>
      </c>
      <c r="E209" t="s">
        <v>34</v>
      </c>
      <c r="F209" t="str">
        <f>"0008258"</f>
        <v>0008258</v>
      </c>
      <c r="G209">
        <v>1</v>
      </c>
      <c r="H209" t="str">
        <f>"00000001"</f>
        <v>00000001</v>
      </c>
      <c r="I209" t="s">
        <v>35</v>
      </c>
      <c r="J209"/>
      <c r="K209">
        <v>53.53</v>
      </c>
      <c r="L209">
        <v>0.0</v>
      </c>
      <c r="M209"/>
      <c r="N209"/>
      <c r="O209">
        <v>9.63</v>
      </c>
      <c r="P209">
        <v>0.0</v>
      </c>
      <c r="Q209">
        <v>63.16</v>
      </c>
      <c r="R209"/>
      <c r="S209"/>
      <c r="T209"/>
      <c r="U209"/>
      <c r="V209"/>
      <c r="W209">
        <v>18</v>
      </c>
    </row>
    <row r="210" spans="1:23">
      <c r="A210"/>
      <c r="B210" t="s">
        <v>118</v>
      </c>
      <c r="C210" t="s">
        <v>118</v>
      </c>
      <c r="D210" t="s">
        <v>33</v>
      </c>
      <c r="E210" t="s">
        <v>34</v>
      </c>
      <c r="F210" t="str">
        <f>"0008259"</f>
        <v>0008259</v>
      </c>
      <c r="G210">
        <v>1</v>
      </c>
      <c r="H210" t="str">
        <f>"00000001"</f>
        <v>00000001</v>
      </c>
      <c r="I210" t="s">
        <v>35</v>
      </c>
      <c r="J210"/>
      <c r="K210">
        <v>13.56</v>
      </c>
      <c r="L210">
        <v>0.0</v>
      </c>
      <c r="M210"/>
      <c r="N210"/>
      <c r="O210">
        <v>2.44</v>
      </c>
      <c r="P210">
        <v>0.0</v>
      </c>
      <c r="Q210">
        <v>16.0</v>
      </c>
      <c r="R210"/>
      <c r="S210"/>
      <c r="T210"/>
      <c r="U210"/>
      <c r="V210"/>
      <c r="W210">
        <v>18</v>
      </c>
    </row>
    <row r="211" spans="1:23">
      <c r="A211"/>
      <c r="B211" t="s">
        <v>118</v>
      </c>
      <c r="C211" t="s">
        <v>118</v>
      </c>
      <c r="D211" t="s">
        <v>33</v>
      </c>
      <c r="E211" t="s">
        <v>34</v>
      </c>
      <c r="F211" t="str">
        <f>"0008260"</f>
        <v>0008260</v>
      </c>
      <c r="G211">
        <v>1</v>
      </c>
      <c r="H211" t="str">
        <f>"0000AVSA"</f>
        <v>0000AVSA</v>
      </c>
      <c r="I211" t="s">
        <v>79</v>
      </c>
      <c r="J211"/>
      <c r="K211">
        <v>7.63</v>
      </c>
      <c r="L211">
        <v>0.0</v>
      </c>
      <c r="M211"/>
      <c r="N211"/>
      <c r="O211">
        <v>1.37</v>
      </c>
      <c r="P211">
        <v>0.0</v>
      </c>
      <c r="Q211">
        <v>9.0</v>
      </c>
      <c r="R211"/>
      <c r="S211"/>
      <c r="T211"/>
      <c r="U211"/>
      <c r="V211"/>
      <c r="W211">
        <v>18</v>
      </c>
    </row>
    <row r="212" spans="1:23">
      <c r="A212"/>
      <c r="B212" t="s">
        <v>118</v>
      </c>
      <c r="C212" t="s">
        <v>118</v>
      </c>
      <c r="D212" t="s">
        <v>37</v>
      </c>
      <c r="E212" t="s">
        <v>38</v>
      </c>
      <c r="F212" t="str">
        <f>"0000579"</f>
        <v>0000579</v>
      </c>
      <c r="G212">
        <v>6</v>
      </c>
      <c r="H212" t="str">
        <f>"10275514522"</f>
        <v>10275514522</v>
      </c>
      <c r="I212" t="s">
        <v>119</v>
      </c>
      <c r="J212"/>
      <c r="K212">
        <v>87.29</v>
      </c>
      <c r="L212">
        <v>0.0</v>
      </c>
      <c r="M212"/>
      <c r="N212"/>
      <c r="O212">
        <v>15.71</v>
      </c>
      <c r="P212">
        <v>0.0</v>
      </c>
      <c r="Q212">
        <v>103.0</v>
      </c>
      <c r="R212"/>
      <c r="S212"/>
      <c r="T212"/>
      <c r="U212"/>
      <c r="V212"/>
      <c r="W212">
        <v>18</v>
      </c>
    </row>
    <row r="213" spans="1:23">
      <c r="A213"/>
      <c r="B213" t="s">
        <v>118</v>
      </c>
      <c r="C213" t="s">
        <v>118</v>
      </c>
      <c r="D213" t="s">
        <v>33</v>
      </c>
      <c r="E213" t="s">
        <v>34</v>
      </c>
      <c r="F213" t="str">
        <f>"0008261"</f>
        <v>0008261</v>
      </c>
      <c r="G213">
        <v>1</v>
      </c>
      <c r="H213" t="str">
        <f>"00000001"</f>
        <v>00000001</v>
      </c>
      <c r="I213" t="s">
        <v>35</v>
      </c>
      <c r="J213"/>
      <c r="K213">
        <v>61.44</v>
      </c>
      <c r="L213">
        <v>0.0</v>
      </c>
      <c r="M213"/>
      <c r="N213"/>
      <c r="O213">
        <v>11.06</v>
      </c>
      <c r="P213">
        <v>0.0</v>
      </c>
      <c r="Q213">
        <v>72.5</v>
      </c>
      <c r="R213"/>
      <c r="S213"/>
      <c r="T213"/>
      <c r="U213"/>
      <c r="V213"/>
      <c r="W213">
        <v>18</v>
      </c>
    </row>
    <row r="214" spans="1:23">
      <c r="A214"/>
      <c r="B214" t="s">
        <v>118</v>
      </c>
      <c r="C214" t="s">
        <v>118</v>
      </c>
      <c r="D214" t="s">
        <v>33</v>
      </c>
      <c r="E214" t="s">
        <v>34</v>
      </c>
      <c r="F214" t="str">
        <f>"0008262"</f>
        <v>0008262</v>
      </c>
      <c r="G214">
        <v>1</v>
      </c>
      <c r="H214" t="str">
        <f>"000000SC"</f>
        <v>000000SC</v>
      </c>
      <c r="I214" t="s">
        <v>46</v>
      </c>
      <c r="J214"/>
      <c r="K214">
        <v>55.08</v>
      </c>
      <c r="L214">
        <v>0.0</v>
      </c>
      <c r="M214"/>
      <c r="N214"/>
      <c r="O214">
        <v>9.92</v>
      </c>
      <c r="P214">
        <v>0.0</v>
      </c>
      <c r="Q214">
        <v>65.0</v>
      </c>
      <c r="R214"/>
      <c r="S214"/>
      <c r="T214"/>
      <c r="U214"/>
      <c r="V214"/>
      <c r="W214">
        <v>18</v>
      </c>
    </row>
    <row r="215" spans="1:23">
      <c r="A215"/>
      <c r="B215" t="s">
        <v>118</v>
      </c>
      <c r="C215" t="s">
        <v>118</v>
      </c>
      <c r="D215" t="s">
        <v>33</v>
      </c>
      <c r="E215" t="s">
        <v>34</v>
      </c>
      <c r="F215" t="str">
        <f>"0008263"</f>
        <v>0008263</v>
      </c>
      <c r="G215">
        <v>1</v>
      </c>
      <c r="H215" t="str">
        <f>"IEIN0549"</f>
        <v>IEIN0549</v>
      </c>
      <c r="I215" t="s">
        <v>120</v>
      </c>
      <c r="J215"/>
      <c r="K215">
        <v>3.39</v>
      </c>
      <c r="L215">
        <v>0.0</v>
      </c>
      <c r="M215"/>
      <c r="N215"/>
      <c r="O215">
        <v>0.61</v>
      </c>
      <c r="P215">
        <v>0.0</v>
      </c>
      <c r="Q215">
        <v>4.0</v>
      </c>
      <c r="R215"/>
      <c r="S215"/>
      <c r="T215"/>
      <c r="U215"/>
      <c r="V215"/>
      <c r="W215">
        <v>18</v>
      </c>
    </row>
    <row r="216" spans="1:23">
      <c r="A216"/>
      <c r="B216" t="s">
        <v>118</v>
      </c>
      <c r="C216" t="s">
        <v>118</v>
      </c>
      <c r="D216" t="s">
        <v>33</v>
      </c>
      <c r="E216" t="s">
        <v>34</v>
      </c>
      <c r="F216" t="str">
        <f>"0008264"</f>
        <v>0008264</v>
      </c>
      <c r="G216">
        <v>1</v>
      </c>
      <c r="H216" t="str">
        <f>"000000SC"</f>
        <v>000000SC</v>
      </c>
      <c r="I216" t="s">
        <v>46</v>
      </c>
      <c r="J216"/>
      <c r="K216">
        <v>28.81</v>
      </c>
      <c r="L216">
        <v>0.0</v>
      </c>
      <c r="M216"/>
      <c r="N216"/>
      <c r="O216">
        <v>5.19</v>
      </c>
      <c r="P216">
        <v>0.0</v>
      </c>
      <c r="Q216">
        <v>34.0</v>
      </c>
      <c r="R216"/>
      <c r="S216"/>
      <c r="T216"/>
      <c r="U216"/>
      <c r="V216"/>
      <c r="W216">
        <v>18</v>
      </c>
    </row>
    <row r="217" spans="1:23">
      <c r="A217"/>
      <c r="B217" t="s">
        <v>118</v>
      </c>
      <c r="C217" t="s">
        <v>118</v>
      </c>
      <c r="D217" t="s">
        <v>33</v>
      </c>
      <c r="E217" t="s">
        <v>34</v>
      </c>
      <c r="F217" t="str">
        <f>"0008265"</f>
        <v>0008265</v>
      </c>
      <c r="G217">
        <v>1</v>
      </c>
      <c r="H217" t="str">
        <f>"44582025"</f>
        <v>44582025</v>
      </c>
      <c r="I217" t="s">
        <v>121</v>
      </c>
      <c r="J217"/>
      <c r="K217">
        <v>11.02</v>
      </c>
      <c r="L217">
        <v>0.0</v>
      </c>
      <c r="M217"/>
      <c r="N217"/>
      <c r="O217">
        <v>1.98</v>
      </c>
      <c r="P217">
        <v>0.0</v>
      </c>
      <c r="Q217">
        <v>13.0</v>
      </c>
      <c r="R217"/>
      <c r="S217"/>
      <c r="T217"/>
      <c r="U217"/>
      <c r="V217"/>
      <c r="W217">
        <v>18</v>
      </c>
    </row>
    <row r="218" spans="1:23">
      <c r="A218"/>
      <c r="B218" t="s">
        <v>118</v>
      </c>
      <c r="C218" t="s">
        <v>118</v>
      </c>
      <c r="D218" t="s">
        <v>33</v>
      </c>
      <c r="E218" t="s">
        <v>34</v>
      </c>
      <c r="F218" t="str">
        <f>"0008266"</f>
        <v>0008266</v>
      </c>
      <c r="G218">
        <v>1</v>
      </c>
      <c r="H218" t="str">
        <f>"00000001"</f>
        <v>00000001</v>
      </c>
      <c r="I218" t="s">
        <v>35</v>
      </c>
      <c r="J218"/>
      <c r="K218">
        <v>372.87</v>
      </c>
      <c r="L218">
        <v>0.0</v>
      </c>
      <c r="M218"/>
      <c r="N218"/>
      <c r="O218">
        <v>67.12</v>
      </c>
      <c r="P218">
        <v>0.0</v>
      </c>
      <c r="Q218">
        <v>439.99</v>
      </c>
      <c r="R218"/>
      <c r="S218"/>
      <c r="T218"/>
      <c r="U218"/>
      <c r="V218"/>
      <c r="W218">
        <v>18</v>
      </c>
    </row>
    <row r="219" spans="1:23">
      <c r="A219"/>
      <c r="B219" t="s">
        <v>118</v>
      </c>
      <c r="C219" t="s">
        <v>118</v>
      </c>
      <c r="D219" t="s">
        <v>33</v>
      </c>
      <c r="E219" t="s">
        <v>34</v>
      </c>
      <c r="F219" t="str">
        <f>"0008267"</f>
        <v>0008267</v>
      </c>
      <c r="G219">
        <v>1</v>
      </c>
      <c r="H219" t="str">
        <f>"00000001"</f>
        <v>00000001</v>
      </c>
      <c r="I219" t="s">
        <v>35</v>
      </c>
      <c r="J219"/>
      <c r="K219">
        <v>371.19</v>
      </c>
      <c r="L219">
        <v>0.0</v>
      </c>
      <c r="M219"/>
      <c r="N219"/>
      <c r="O219">
        <v>66.81</v>
      </c>
      <c r="P219">
        <v>0.0</v>
      </c>
      <c r="Q219">
        <v>438.0</v>
      </c>
      <c r="R219"/>
      <c r="S219"/>
      <c r="T219"/>
      <c r="U219"/>
      <c r="V219"/>
      <c r="W219">
        <v>18</v>
      </c>
    </row>
    <row r="220" spans="1:23">
      <c r="A220"/>
      <c r="B220" t="s">
        <v>118</v>
      </c>
      <c r="C220" t="s">
        <v>118</v>
      </c>
      <c r="D220" t="s">
        <v>33</v>
      </c>
      <c r="E220" t="s">
        <v>34</v>
      </c>
      <c r="F220" t="str">
        <f>"0008268"</f>
        <v>0008268</v>
      </c>
      <c r="G220">
        <v>1</v>
      </c>
      <c r="H220" t="str">
        <f>"00000001"</f>
        <v>00000001</v>
      </c>
      <c r="I220" t="s">
        <v>35</v>
      </c>
      <c r="J220"/>
      <c r="K220">
        <v>308.47</v>
      </c>
      <c r="L220">
        <v>0.0</v>
      </c>
      <c r="M220"/>
      <c r="N220"/>
      <c r="O220">
        <v>55.53</v>
      </c>
      <c r="P220">
        <v>0.0</v>
      </c>
      <c r="Q220">
        <v>364.0</v>
      </c>
      <c r="R220"/>
      <c r="S220"/>
      <c r="T220"/>
      <c r="U220"/>
      <c r="V220"/>
      <c r="W220">
        <v>18</v>
      </c>
    </row>
    <row r="221" spans="1:23">
      <c r="A221"/>
      <c r="B221" t="s">
        <v>118</v>
      </c>
      <c r="C221" t="s">
        <v>118</v>
      </c>
      <c r="D221" t="s">
        <v>33</v>
      </c>
      <c r="E221" t="s">
        <v>34</v>
      </c>
      <c r="F221" t="str">
        <f>"0008269"</f>
        <v>0008269</v>
      </c>
      <c r="G221">
        <v>1</v>
      </c>
      <c r="H221" t="str">
        <f>"00000001"</f>
        <v>00000001</v>
      </c>
      <c r="I221" t="s">
        <v>35</v>
      </c>
      <c r="J221"/>
      <c r="K221">
        <v>191.53</v>
      </c>
      <c r="L221">
        <v>0.0</v>
      </c>
      <c r="M221"/>
      <c r="N221"/>
      <c r="O221">
        <v>34.47</v>
      </c>
      <c r="P221">
        <v>0.0</v>
      </c>
      <c r="Q221">
        <v>226.0</v>
      </c>
      <c r="R221"/>
      <c r="S221"/>
      <c r="T221"/>
      <c r="U221"/>
      <c r="V221"/>
      <c r="W221">
        <v>18</v>
      </c>
    </row>
    <row r="222" spans="1:23">
      <c r="A222"/>
      <c r="B222" t="s">
        <v>118</v>
      </c>
      <c r="C222" t="s">
        <v>118</v>
      </c>
      <c r="D222" t="s">
        <v>33</v>
      </c>
      <c r="E222" t="s">
        <v>34</v>
      </c>
      <c r="F222" t="str">
        <f>"0008270"</f>
        <v>0008270</v>
      </c>
      <c r="G222">
        <v>1</v>
      </c>
      <c r="H222" t="str">
        <f>"00000001"</f>
        <v>00000001</v>
      </c>
      <c r="I222" t="s">
        <v>35</v>
      </c>
      <c r="J222"/>
      <c r="K222">
        <v>237.15</v>
      </c>
      <c r="L222">
        <v>0.0</v>
      </c>
      <c r="M222"/>
      <c r="N222"/>
      <c r="O222">
        <v>42.69</v>
      </c>
      <c r="P222">
        <v>0.0</v>
      </c>
      <c r="Q222">
        <v>279.84</v>
      </c>
      <c r="R222"/>
      <c r="S222"/>
      <c r="T222"/>
      <c r="U222"/>
      <c r="V222"/>
      <c r="W222">
        <v>18</v>
      </c>
    </row>
    <row r="223" spans="1:23">
      <c r="A223"/>
      <c r="B223" t="s">
        <v>118</v>
      </c>
      <c r="C223" t="s">
        <v>118</v>
      </c>
      <c r="D223" t="s">
        <v>33</v>
      </c>
      <c r="E223" t="s">
        <v>34</v>
      </c>
      <c r="F223" t="str">
        <f>"0008271"</f>
        <v>0008271</v>
      </c>
      <c r="G223">
        <v>1</v>
      </c>
      <c r="H223" t="str">
        <f>"00000001"</f>
        <v>00000001</v>
      </c>
      <c r="I223" t="s">
        <v>35</v>
      </c>
      <c r="J223"/>
      <c r="K223">
        <v>467.8</v>
      </c>
      <c r="L223">
        <v>0.0</v>
      </c>
      <c r="M223"/>
      <c r="N223"/>
      <c r="O223">
        <v>84.2</v>
      </c>
      <c r="P223">
        <v>0.0</v>
      </c>
      <c r="Q223">
        <v>552.0</v>
      </c>
      <c r="R223"/>
      <c r="S223"/>
      <c r="T223"/>
      <c r="U223"/>
      <c r="V223"/>
      <c r="W223">
        <v>18</v>
      </c>
    </row>
    <row r="224" spans="1:23">
      <c r="A224"/>
      <c r="B224" t="s">
        <v>118</v>
      </c>
      <c r="C224" t="s">
        <v>118</v>
      </c>
      <c r="D224" t="s">
        <v>33</v>
      </c>
      <c r="E224" t="s">
        <v>34</v>
      </c>
      <c r="F224" t="str">
        <f>"0008272"</f>
        <v>0008272</v>
      </c>
      <c r="G224">
        <v>1</v>
      </c>
      <c r="H224" t="str">
        <f>"00000001"</f>
        <v>00000001</v>
      </c>
      <c r="I224" t="s">
        <v>35</v>
      </c>
      <c r="J224"/>
      <c r="K224">
        <v>194.07</v>
      </c>
      <c r="L224">
        <v>0.0</v>
      </c>
      <c r="M224"/>
      <c r="N224"/>
      <c r="O224">
        <v>34.93</v>
      </c>
      <c r="P224">
        <v>0.0</v>
      </c>
      <c r="Q224">
        <v>229.0</v>
      </c>
      <c r="R224"/>
      <c r="S224"/>
      <c r="T224"/>
      <c r="U224"/>
      <c r="V224"/>
      <c r="W224">
        <v>18</v>
      </c>
    </row>
    <row r="225" spans="1:23">
      <c r="A225"/>
      <c r="B225" t="s">
        <v>118</v>
      </c>
      <c r="C225" t="s">
        <v>118</v>
      </c>
      <c r="D225" t="s">
        <v>33</v>
      </c>
      <c r="E225" t="s">
        <v>34</v>
      </c>
      <c r="F225" t="str">
        <f>"0008273"</f>
        <v>0008273</v>
      </c>
      <c r="G225">
        <v>1</v>
      </c>
      <c r="H225" t="str">
        <f>"00000001"</f>
        <v>00000001</v>
      </c>
      <c r="I225" t="s">
        <v>35</v>
      </c>
      <c r="J225"/>
      <c r="K225">
        <v>81.36</v>
      </c>
      <c r="L225">
        <v>0.0</v>
      </c>
      <c r="M225"/>
      <c r="N225"/>
      <c r="O225">
        <v>14.64</v>
      </c>
      <c r="P225">
        <v>0.0</v>
      </c>
      <c r="Q225">
        <v>96.0</v>
      </c>
      <c r="R225"/>
      <c r="S225"/>
      <c r="T225"/>
      <c r="U225"/>
      <c r="V225"/>
      <c r="W225">
        <v>18</v>
      </c>
    </row>
    <row r="226" spans="1:23">
      <c r="A226"/>
      <c r="B226" t="s">
        <v>118</v>
      </c>
      <c r="C226" t="s">
        <v>118</v>
      </c>
      <c r="D226" t="s">
        <v>33</v>
      </c>
      <c r="E226" t="s">
        <v>34</v>
      </c>
      <c r="F226" t="str">
        <f>"0008274"</f>
        <v>0008274</v>
      </c>
      <c r="G226">
        <v>1</v>
      </c>
      <c r="H226" t="str">
        <f>"00000001"</f>
        <v>00000001</v>
      </c>
      <c r="I226" t="s">
        <v>35</v>
      </c>
      <c r="J226"/>
      <c r="K226">
        <v>107.2</v>
      </c>
      <c r="L226">
        <v>0.0</v>
      </c>
      <c r="M226"/>
      <c r="N226"/>
      <c r="O226">
        <v>19.3</v>
      </c>
      <c r="P226">
        <v>0.0</v>
      </c>
      <c r="Q226">
        <v>126.5</v>
      </c>
      <c r="R226"/>
      <c r="S226"/>
      <c r="T226"/>
      <c r="U226"/>
      <c r="V226"/>
      <c r="W226">
        <v>18</v>
      </c>
    </row>
    <row r="227" spans="1:23">
      <c r="A227"/>
      <c r="B227" t="s">
        <v>118</v>
      </c>
      <c r="C227" t="s">
        <v>118</v>
      </c>
      <c r="D227" t="s">
        <v>33</v>
      </c>
      <c r="E227" t="s">
        <v>34</v>
      </c>
      <c r="F227" t="str">
        <f>"0008275"</f>
        <v>0008275</v>
      </c>
      <c r="G227">
        <v>1</v>
      </c>
      <c r="H227" t="str">
        <f>"00000001"</f>
        <v>00000001</v>
      </c>
      <c r="I227" t="s">
        <v>35</v>
      </c>
      <c r="J227"/>
      <c r="K227">
        <v>91.95</v>
      </c>
      <c r="L227">
        <v>0.0</v>
      </c>
      <c r="M227"/>
      <c r="N227"/>
      <c r="O227">
        <v>16.55</v>
      </c>
      <c r="P227">
        <v>0.0</v>
      </c>
      <c r="Q227">
        <v>108.5</v>
      </c>
      <c r="R227"/>
      <c r="S227"/>
      <c r="T227"/>
      <c r="U227"/>
      <c r="V227"/>
      <c r="W227">
        <v>18</v>
      </c>
    </row>
    <row r="228" spans="1:23">
      <c r="A228"/>
      <c r="B228" t="s">
        <v>118</v>
      </c>
      <c r="C228" t="s">
        <v>118</v>
      </c>
      <c r="D228" t="s">
        <v>33</v>
      </c>
      <c r="E228" t="s">
        <v>34</v>
      </c>
      <c r="F228" t="str">
        <f>"0008276"</f>
        <v>0008276</v>
      </c>
      <c r="G228">
        <v>1</v>
      </c>
      <c r="H228" t="str">
        <f>"00000001"</f>
        <v>00000001</v>
      </c>
      <c r="I228" t="s">
        <v>35</v>
      </c>
      <c r="J228"/>
      <c r="K228">
        <v>117.8</v>
      </c>
      <c r="L228">
        <v>0.0</v>
      </c>
      <c r="M228"/>
      <c r="N228"/>
      <c r="O228">
        <v>21.2</v>
      </c>
      <c r="P228">
        <v>0.0</v>
      </c>
      <c r="Q228">
        <v>139.0</v>
      </c>
      <c r="R228"/>
      <c r="S228"/>
      <c r="T228"/>
      <c r="U228"/>
      <c r="V228"/>
      <c r="W228">
        <v>18</v>
      </c>
    </row>
    <row r="229" spans="1:23">
      <c r="A229"/>
      <c r="B229" t="s">
        <v>118</v>
      </c>
      <c r="C229" t="s">
        <v>118</v>
      </c>
      <c r="D229" t="s">
        <v>33</v>
      </c>
      <c r="E229" t="s">
        <v>34</v>
      </c>
      <c r="F229" t="str">
        <f>"0008277"</f>
        <v>0008277</v>
      </c>
      <c r="G229">
        <v>1</v>
      </c>
      <c r="H229" t="str">
        <f>"00000001"</f>
        <v>00000001</v>
      </c>
      <c r="I229" t="s">
        <v>35</v>
      </c>
      <c r="J229"/>
      <c r="K229">
        <v>111.86</v>
      </c>
      <c r="L229">
        <v>0.0</v>
      </c>
      <c r="M229"/>
      <c r="N229"/>
      <c r="O229">
        <v>20.14</v>
      </c>
      <c r="P229">
        <v>0.0</v>
      </c>
      <c r="Q229">
        <v>132.0</v>
      </c>
      <c r="R229"/>
      <c r="S229"/>
      <c r="T229"/>
      <c r="U229"/>
      <c r="V229"/>
      <c r="W229">
        <v>18</v>
      </c>
    </row>
    <row r="230" spans="1:23">
      <c r="A230"/>
      <c r="B230" t="s">
        <v>118</v>
      </c>
      <c r="C230" t="s">
        <v>118</v>
      </c>
      <c r="D230" t="s">
        <v>33</v>
      </c>
      <c r="E230" t="s">
        <v>34</v>
      </c>
      <c r="F230" t="str">
        <f>"0008278"</f>
        <v>0008278</v>
      </c>
      <c r="G230">
        <v>1</v>
      </c>
      <c r="H230" t="str">
        <f>"00000001"</f>
        <v>00000001</v>
      </c>
      <c r="I230" t="s">
        <v>35</v>
      </c>
      <c r="J230"/>
      <c r="K230">
        <v>76.27</v>
      </c>
      <c r="L230">
        <v>0.0</v>
      </c>
      <c r="M230"/>
      <c r="N230"/>
      <c r="O230">
        <v>13.73</v>
      </c>
      <c r="P230">
        <v>0.0</v>
      </c>
      <c r="Q230">
        <v>90.0</v>
      </c>
      <c r="R230"/>
      <c r="S230"/>
      <c r="T230"/>
      <c r="U230"/>
      <c r="V230"/>
      <c r="W230">
        <v>18</v>
      </c>
    </row>
    <row r="231" spans="1:23">
      <c r="A231"/>
      <c r="B231" t="s">
        <v>118</v>
      </c>
      <c r="C231" t="s">
        <v>118</v>
      </c>
      <c r="D231" t="s">
        <v>33</v>
      </c>
      <c r="E231" t="s">
        <v>34</v>
      </c>
      <c r="F231" t="str">
        <f>"0008279"</f>
        <v>0008279</v>
      </c>
      <c r="G231">
        <v>1</v>
      </c>
      <c r="H231" t="str">
        <f>"00000001"</f>
        <v>00000001</v>
      </c>
      <c r="I231" t="s">
        <v>35</v>
      </c>
      <c r="J231"/>
      <c r="K231">
        <v>113.56</v>
      </c>
      <c r="L231">
        <v>0.0</v>
      </c>
      <c r="M231"/>
      <c r="N231"/>
      <c r="O231">
        <v>20.44</v>
      </c>
      <c r="P231">
        <v>0.0</v>
      </c>
      <c r="Q231">
        <v>134.0</v>
      </c>
      <c r="R231"/>
      <c r="S231"/>
      <c r="T231"/>
      <c r="U231"/>
      <c r="V231"/>
      <c r="W231">
        <v>18</v>
      </c>
    </row>
    <row r="232" spans="1:23">
      <c r="A232"/>
      <c r="B232" t="s">
        <v>118</v>
      </c>
      <c r="C232" t="s">
        <v>118</v>
      </c>
      <c r="D232" t="s">
        <v>33</v>
      </c>
      <c r="E232" t="s">
        <v>34</v>
      </c>
      <c r="F232" t="str">
        <f>"0008280"</f>
        <v>0008280</v>
      </c>
      <c r="G232">
        <v>1</v>
      </c>
      <c r="H232" t="str">
        <f>"00000001"</f>
        <v>00000001</v>
      </c>
      <c r="I232" t="s">
        <v>35</v>
      </c>
      <c r="J232"/>
      <c r="K232">
        <v>119.07</v>
      </c>
      <c r="L232">
        <v>0.0</v>
      </c>
      <c r="M232"/>
      <c r="N232"/>
      <c r="O232">
        <v>21.43</v>
      </c>
      <c r="P232">
        <v>0.0</v>
      </c>
      <c r="Q232">
        <v>140.5</v>
      </c>
      <c r="R232"/>
      <c r="S232"/>
      <c r="T232"/>
      <c r="U232"/>
      <c r="V232"/>
      <c r="W232">
        <v>18</v>
      </c>
    </row>
    <row r="233" spans="1:23">
      <c r="A233"/>
      <c r="B233" t="s">
        <v>118</v>
      </c>
      <c r="C233" t="s">
        <v>118</v>
      </c>
      <c r="D233" t="s">
        <v>33</v>
      </c>
      <c r="E233" t="s">
        <v>34</v>
      </c>
      <c r="F233" t="str">
        <f>"0008281"</f>
        <v>0008281</v>
      </c>
      <c r="G233">
        <v>1</v>
      </c>
      <c r="H233" t="str">
        <f>"00000001"</f>
        <v>00000001</v>
      </c>
      <c r="I233" t="s">
        <v>35</v>
      </c>
      <c r="J233"/>
      <c r="K233">
        <v>79.66</v>
      </c>
      <c r="L233">
        <v>0.0</v>
      </c>
      <c r="M233"/>
      <c r="N233"/>
      <c r="O233">
        <v>14.34</v>
      </c>
      <c r="P233">
        <v>0.0</v>
      </c>
      <c r="Q233">
        <v>94.0</v>
      </c>
      <c r="R233"/>
      <c r="S233"/>
      <c r="T233"/>
      <c r="U233"/>
      <c r="V233"/>
      <c r="W233">
        <v>18</v>
      </c>
    </row>
    <row r="234" spans="1:23">
      <c r="A234"/>
      <c r="B234" t="s">
        <v>118</v>
      </c>
      <c r="C234" t="s">
        <v>118</v>
      </c>
      <c r="D234" t="s">
        <v>33</v>
      </c>
      <c r="E234" t="s">
        <v>34</v>
      </c>
      <c r="F234" t="str">
        <f>"0008282"</f>
        <v>0008282</v>
      </c>
      <c r="G234">
        <v>1</v>
      </c>
      <c r="H234" t="str">
        <f>"00000001"</f>
        <v>00000001</v>
      </c>
      <c r="I234" t="s">
        <v>35</v>
      </c>
      <c r="J234"/>
      <c r="K234">
        <v>105.51</v>
      </c>
      <c r="L234">
        <v>0.0</v>
      </c>
      <c r="M234"/>
      <c r="N234"/>
      <c r="O234">
        <v>18.99</v>
      </c>
      <c r="P234">
        <v>0.0</v>
      </c>
      <c r="Q234">
        <v>124.5</v>
      </c>
      <c r="R234"/>
      <c r="S234"/>
      <c r="T234"/>
      <c r="U234"/>
      <c r="V234"/>
      <c r="W234">
        <v>18</v>
      </c>
    </row>
    <row r="235" spans="1:23">
      <c r="A235"/>
      <c r="B235" t="s">
        <v>122</v>
      </c>
      <c r="C235" t="s">
        <v>122</v>
      </c>
      <c r="D235" t="s">
        <v>33</v>
      </c>
      <c r="E235" t="s">
        <v>34</v>
      </c>
      <c r="F235" t="str">
        <f>"0008283"</f>
        <v>0008283</v>
      </c>
      <c r="G235">
        <v>1</v>
      </c>
      <c r="H235" t="str">
        <f>"00000001"</f>
        <v>00000001</v>
      </c>
      <c r="I235" t="s">
        <v>35</v>
      </c>
      <c r="J235"/>
      <c r="K235">
        <v>42.37</v>
      </c>
      <c r="L235">
        <v>0.0</v>
      </c>
      <c r="M235"/>
      <c r="N235"/>
      <c r="O235">
        <v>7.63</v>
      </c>
      <c r="P235">
        <v>0.0</v>
      </c>
      <c r="Q235">
        <v>50.0</v>
      </c>
      <c r="R235"/>
      <c r="S235"/>
      <c r="T235"/>
      <c r="U235"/>
      <c r="V235"/>
      <c r="W235">
        <v>18</v>
      </c>
    </row>
    <row r="236" spans="1:23">
      <c r="A236"/>
      <c r="B236" t="s">
        <v>122</v>
      </c>
      <c r="C236" t="s">
        <v>122</v>
      </c>
      <c r="D236" t="s">
        <v>33</v>
      </c>
      <c r="E236" t="s">
        <v>34</v>
      </c>
      <c r="F236" t="str">
        <f>"0008284"</f>
        <v>0008284</v>
      </c>
      <c r="G236">
        <v>6</v>
      </c>
      <c r="H236" t="str">
        <f>"20602050506"</f>
        <v>20602050506</v>
      </c>
      <c r="I236" t="s">
        <v>41</v>
      </c>
      <c r="J236"/>
      <c r="K236">
        <v>44.07</v>
      </c>
      <c r="L236">
        <v>0.0</v>
      </c>
      <c r="M236"/>
      <c r="N236"/>
      <c r="O236">
        <v>7.93</v>
      </c>
      <c r="P236">
        <v>0.0</v>
      </c>
      <c r="Q236">
        <v>52.0</v>
      </c>
      <c r="R236"/>
      <c r="S236"/>
      <c r="T236"/>
      <c r="U236"/>
      <c r="V236"/>
      <c r="W236">
        <v>18</v>
      </c>
    </row>
    <row r="237" spans="1:23">
      <c r="A237"/>
      <c r="B237" t="s">
        <v>122</v>
      </c>
      <c r="C237" t="s">
        <v>122</v>
      </c>
      <c r="D237" t="s">
        <v>33</v>
      </c>
      <c r="E237" t="s">
        <v>34</v>
      </c>
      <c r="F237" t="str">
        <f>"0008285"</f>
        <v>0008285</v>
      </c>
      <c r="G237">
        <v>1</v>
      </c>
      <c r="H237" t="str">
        <f>"0000CSVC"</f>
        <v>0000CSVC</v>
      </c>
      <c r="I237" t="s">
        <v>58</v>
      </c>
      <c r="J237"/>
      <c r="K237">
        <v>18.64</v>
      </c>
      <c r="L237">
        <v>0.0</v>
      </c>
      <c r="M237"/>
      <c r="N237"/>
      <c r="O237">
        <v>3.36</v>
      </c>
      <c r="P237">
        <v>0.0</v>
      </c>
      <c r="Q237">
        <v>22.0</v>
      </c>
      <c r="R237"/>
      <c r="S237"/>
      <c r="T237"/>
      <c r="U237"/>
      <c r="V237"/>
      <c r="W237">
        <v>18</v>
      </c>
    </row>
    <row r="238" spans="1:23">
      <c r="A238"/>
      <c r="B238" t="s">
        <v>122</v>
      </c>
      <c r="C238" t="s">
        <v>122</v>
      </c>
      <c r="D238" t="s">
        <v>33</v>
      </c>
      <c r="E238" t="s">
        <v>34</v>
      </c>
      <c r="F238" t="str">
        <f>"0008286"</f>
        <v>0008286</v>
      </c>
      <c r="G238">
        <v>1</v>
      </c>
      <c r="H238" t="str">
        <f>"00000001"</f>
        <v>00000001</v>
      </c>
      <c r="I238" t="s">
        <v>35</v>
      </c>
      <c r="J238"/>
      <c r="K238">
        <v>54.66</v>
      </c>
      <c r="L238">
        <v>0.0</v>
      </c>
      <c r="M238"/>
      <c r="N238"/>
      <c r="O238">
        <v>9.84</v>
      </c>
      <c r="P238">
        <v>0.0</v>
      </c>
      <c r="Q238">
        <v>64.5</v>
      </c>
      <c r="R238"/>
      <c r="S238"/>
      <c r="T238"/>
      <c r="U238"/>
      <c r="V238"/>
      <c r="W238">
        <v>18</v>
      </c>
    </row>
    <row r="239" spans="1:23">
      <c r="A239"/>
      <c r="B239" t="s">
        <v>122</v>
      </c>
      <c r="C239" t="s">
        <v>122</v>
      </c>
      <c r="D239" t="s">
        <v>37</v>
      </c>
      <c r="E239" t="s">
        <v>38</v>
      </c>
      <c r="F239" t="str">
        <f>"0000580"</f>
        <v>0000580</v>
      </c>
      <c r="G239">
        <v>6</v>
      </c>
      <c r="H239" t="str">
        <f>"20602050506"</f>
        <v>20602050506</v>
      </c>
      <c r="I239" t="s">
        <v>41</v>
      </c>
      <c r="J239"/>
      <c r="K239">
        <v>118.64</v>
      </c>
      <c r="L239">
        <v>0.0</v>
      </c>
      <c r="M239"/>
      <c r="N239"/>
      <c r="O239">
        <v>21.36</v>
      </c>
      <c r="P239">
        <v>0.0</v>
      </c>
      <c r="Q239">
        <v>140.0</v>
      </c>
      <c r="R239"/>
      <c r="S239"/>
      <c r="T239"/>
      <c r="U239"/>
      <c r="V239"/>
      <c r="W239">
        <v>18</v>
      </c>
    </row>
    <row r="240" spans="1:23">
      <c r="A240"/>
      <c r="B240" t="s">
        <v>122</v>
      </c>
      <c r="C240" t="s">
        <v>122</v>
      </c>
      <c r="D240" t="s">
        <v>37</v>
      </c>
      <c r="E240" t="s">
        <v>38</v>
      </c>
      <c r="F240" t="str">
        <f>"0000581"</f>
        <v>0000581</v>
      </c>
      <c r="G240">
        <v>6</v>
      </c>
      <c r="H240" t="str">
        <f>"20602050506"</f>
        <v>20602050506</v>
      </c>
      <c r="I240" t="s">
        <v>41</v>
      </c>
      <c r="J240"/>
      <c r="K240">
        <v>8.47</v>
      </c>
      <c r="L240">
        <v>0.0</v>
      </c>
      <c r="M240"/>
      <c r="N240"/>
      <c r="O240">
        <v>1.53</v>
      </c>
      <c r="P240">
        <v>0.0</v>
      </c>
      <c r="Q240">
        <v>10.0</v>
      </c>
      <c r="R240"/>
      <c r="S240"/>
      <c r="T240"/>
      <c r="U240"/>
      <c r="V240"/>
      <c r="W240">
        <v>18</v>
      </c>
    </row>
    <row r="241" spans="1:23">
      <c r="A241"/>
      <c r="B241" t="s">
        <v>122</v>
      </c>
      <c r="C241" t="s">
        <v>122</v>
      </c>
      <c r="D241" t="s">
        <v>33</v>
      </c>
      <c r="E241" t="s">
        <v>34</v>
      </c>
      <c r="F241" t="str">
        <f>"0008287"</f>
        <v>0008287</v>
      </c>
      <c r="G241">
        <v>1</v>
      </c>
      <c r="H241" t="str">
        <f>"00000001"</f>
        <v>00000001</v>
      </c>
      <c r="I241" t="s">
        <v>35</v>
      </c>
      <c r="J241"/>
      <c r="K241">
        <v>30.51</v>
      </c>
      <c r="L241">
        <v>0.0</v>
      </c>
      <c r="M241"/>
      <c r="N241"/>
      <c r="O241">
        <v>5.49</v>
      </c>
      <c r="P241">
        <v>0.0</v>
      </c>
      <c r="Q241">
        <v>36.0</v>
      </c>
      <c r="R241"/>
      <c r="S241"/>
      <c r="T241"/>
      <c r="U241"/>
      <c r="V241"/>
      <c r="W241">
        <v>18</v>
      </c>
    </row>
    <row r="242" spans="1:23">
      <c r="A242"/>
      <c r="B242" t="s">
        <v>122</v>
      </c>
      <c r="C242" t="s">
        <v>122</v>
      </c>
      <c r="D242" t="s">
        <v>33</v>
      </c>
      <c r="E242" t="s">
        <v>34</v>
      </c>
      <c r="F242" t="str">
        <f>"0008288"</f>
        <v>0008288</v>
      </c>
      <c r="G242">
        <v>1</v>
      </c>
      <c r="H242" t="str">
        <f>"00000001"</f>
        <v>00000001</v>
      </c>
      <c r="I242" t="s">
        <v>35</v>
      </c>
      <c r="J242"/>
      <c r="K242">
        <v>47.46</v>
      </c>
      <c r="L242">
        <v>0.0</v>
      </c>
      <c r="M242"/>
      <c r="N242"/>
      <c r="O242">
        <v>8.54</v>
      </c>
      <c r="P242">
        <v>0.0</v>
      </c>
      <c r="Q242">
        <v>56.0</v>
      </c>
      <c r="R242"/>
      <c r="S242"/>
      <c r="T242"/>
      <c r="U242"/>
      <c r="V242"/>
      <c r="W242">
        <v>18</v>
      </c>
    </row>
    <row r="243" spans="1:23">
      <c r="A243"/>
      <c r="B243" t="s">
        <v>122</v>
      </c>
      <c r="C243" t="s">
        <v>122</v>
      </c>
      <c r="D243" t="s">
        <v>33</v>
      </c>
      <c r="E243" t="s">
        <v>34</v>
      </c>
      <c r="F243" t="str">
        <f>"0008289"</f>
        <v>0008289</v>
      </c>
      <c r="G243">
        <v>1</v>
      </c>
      <c r="H243" t="str">
        <f>"00000001"</f>
        <v>00000001</v>
      </c>
      <c r="I243" t="s">
        <v>35</v>
      </c>
      <c r="J243"/>
      <c r="K243">
        <v>8.47</v>
      </c>
      <c r="L243">
        <v>0.0</v>
      </c>
      <c r="M243"/>
      <c r="N243"/>
      <c r="O243">
        <v>1.53</v>
      </c>
      <c r="P243">
        <v>0.0</v>
      </c>
      <c r="Q243">
        <v>10.0</v>
      </c>
      <c r="R243"/>
      <c r="S243"/>
      <c r="T243"/>
      <c r="U243"/>
      <c r="V243"/>
      <c r="W243">
        <v>18</v>
      </c>
    </row>
    <row r="244" spans="1:23">
      <c r="A244"/>
      <c r="B244" t="s">
        <v>122</v>
      </c>
      <c r="C244" t="s">
        <v>122</v>
      </c>
      <c r="D244" t="s">
        <v>37</v>
      </c>
      <c r="E244" t="s">
        <v>38</v>
      </c>
      <c r="F244" t="str">
        <f>"0000582"</f>
        <v>0000582</v>
      </c>
      <c r="G244">
        <v>6</v>
      </c>
      <c r="H244" t="str">
        <f>"20602050506"</f>
        <v>20602050506</v>
      </c>
      <c r="I244" t="s">
        <v>41</v>
      </c>
      <c r="J244"/>
      <c r="K244">
        <v>20.34</v>
      </c>
      <c r="L244">
        <v>0.0</v>
      </c>
      <c r="M244"/>
      <c r="N244"/>
      <c r="O244">
        <v>3.66</v>
      </c>
      <c r="P244">
        <v>0.0</v>
      </c>
      <c r="Q244">
        <v>24.0</v>
      </c>
      <c r="R244"/>
      <c r="S244"/>
      <c r="T244"/>
      <c r="U244"/>
      <c r="V244"/>
      <c r="W244">
        <v>18</v>
      </c>
    </row>
    <row r="245" spans="1:23">
      <c r="A245"/>
      <c r="B245" t="s">
        <v>122</v>
      </c>
      <c r="C245" t="s">
        <v>122</v>
      </c>
      <c r="D245" t="s">
        <v>33</v>
      </c>
      <c r="E245" t="s">
        <v>34</v>
      </c>
      <c r="F245" t="str">
        <f>"0008290"</f>
        <v>0008290</v>
      </c>
      <c r="G245">
        <v>1</v>
      </c>
      <c r="H245" t="str">
        <f>"73497256"</f>
        <v>73497256</v>
      </c>
      <c r="I245" t="s">
        <v>123</v>
      </c>
      <c r="J245"/>
      <c r="K245">
        <v>49.15</v>
      </c>
      <c r="L245">
        <v>0.0</v>
      </c>
      <c r="M245"/>
      <c r="N245"/>
      <c r="O245">
        <v>8.85</v>
      </c>
      <c r="P245">
        <v>0.0</v>
      </c>
      <c r="Q245">
        <v>58.0</v>
      </c>
      <c r="R245"/>
      <c r="S245"/>
      <c r="T245"/>
      <c r="U245"/>
      <c r="V245"/>
      <c r="W245">
        <v>18</v>
      </c>
    </row>
    <row r="246" spans="1:23">
      <c r="A246"/>
      <c r="B246" t="s">
        <v>122</v>
      </c>
      <c r="C246" t="s">
        <v>122</v>
      </c>
      <c r="D246" t="s">
        <v>33</v>
      </c>
      <c r="E246" t="s">
        <v>34</v>
      </c>
      <c r="F246" t="str">
        <f>"0008291"</f>
        <v>0008291</v>
      </c>
      <c r="G246">
        <v>1</v>
      </c>
      <c r="H246" t="str">
        <f>"00000001"</f>
        <v>00000001</v>
      </c>
      <c r="I246" t="s">
        <v>35</v>
      </c>
      <c r="J246"/>
      <c r="K246">
        <v>31.36</v>
      </c>
      <c r="L246">
        <v>0.0</v>
      </c>
      <c r="M246"/>
      <c r="N246"/>
      <c r="O246">
        <v>5.64</v>
      </c>
      <c r="P246">
        <v>0.0</v>
      </c>
      <c r="Q246">
        <v>37.0</v>
      </c>
      <c r="R246"/>
      <c r="S246"/>
      <c r="T246"/>
      <c r="U246"/>
      <c r="V246"/>
      <c r="W246">
        <v>18</v>
      </c>
    </row>
    <row r="247" spans="1:23">
      <c r="A247"/>
      <c r="B247" t="s">
        <v>122</v>
      </c>
      <c r="C247" t="s">
        <v>122</v>
      </c>
      <c r="D247" t="s">
        <v>33</v>
      </c>
      <c r="E247" t="s">
        <v>34</v>
      </c>
      <c r="F247" t="str">
        <f>"0008292"</f>
        <v>0008292</v>
      </c>
      <c r="G247">
        <v>1</v>
      </c>
      <c r="H247" t="str">
        <f>"00000001"</f>
        <v>00000001</v>
      </c>
      <c r="I247" t="s">
        <v>35</v>
      </c>
      <c r="J247"/>
      <c r="K247">
        <v>27.12</v>
      </c>
      <c r="L247">
        <v>0.0</v>
      </c>
      <c r="M247"/>
      <c r="N247"/>
      <c r="O247">
        <v>4.88</v>
      </c>
      <c r="P247">
        <v>0.0</v>
      </c>
      <c r="Q247">
        <v>32.0</v>
      </c>
      <c r="R247"/>
      <c r="S247"/>
      <c r="T247"/>
      <c r="U247"/>
      <c r="V247"/>
      <c r="W247">
        <v>18</v>
      </c>
    </row>
    <row r="248" spans="1:23">
      <c r="A248"/>
      <c r="B248" t="s">
        <v>122</v>
      </c>
      <c r="C248" t="s">
        <v>122</v>
      </c>
      <c r="D248" t="s">
        <v>33</v>
      </c>
      <c r="E248" t="s">
        <v>34</v>
      </c>
      <c r="F248" t="str">
        <f>"0008293"</f>
        <v>0008293</v>
      </c>
      <c r="G248">
        <v>1</v>
      </c>
      <c r="H248" t="str">
        <f>"00000001"</f>
        <v>00000001</v>
      </c>
      <c r="I248" t="s">
        <v>35</v>
      </c>
      <c r="J248"/>
      <c r="K248">
        <v>56.78</v>
      </c>
      <c r="L248">
        <v>0.0</v>
      </c>
      <c r="M248"/>
      <c r="N248"/>
      <c r="O248">
        <v>10.22</v>
      </c>
      <c r="P248">
        <v>0.0</v>
      </c>
      <c r="Q248">
        <v>67.0</v>
      </c>
      <c r="R248"/>
      <c r="S248"/>
      <c r="T248"/>
      <c r="U248"/>
      <c r="V248"/>
      <c r="W248">
        <v>18</v>
      </c>
    </row>
    <row r="249" spans="1:23">
      <c r="A249"/>
      <c r="B249" t="s">
        <v>122</v>
      </c>
      <c r="C249" t="s">
        <v>122</v>
      </c>
      <c r="D249" t="s">
        <v>33</v>
      </c>
      <c r="E249" t="s">
        <v>34</v>
      </c>
      <c r="F249" t="str">
        <f>"0008294"</f>
        <v>0008294</v>
      </c>
      <c r="G249">
        <v>1</v>
      </c>
      <c r="H249" t="str">
        <f>"00000001"</f>
        <v>00000001</v>
      </c>
      <c r="I249" t="s">
        <v>35</v>
      </c>
      <c r="J249"/>
      <c r="K249">
        <v>135.59</v>
      </c>
      <c r="L249">
        <v>0.0</v>
      </c>
      <c r="M249"/>
      <c r="N249"/>
      <c r="O249">
        <v>24.41</v>
      </c>
      <c r="P249">
        <v>0.0</v>
      </c>
      <c r="Q249">
        <v>160.0</v>
      </c>
      <c r="R249"/>
      <c r="S249"/>
      <c r="T249"/>
      <c r="U249"/>
      <c r="V249"/>
      <c r="W249">
        <v>18</v>
      </c>
    </row>
    <row r="250" spans="1:23">
      <c r="A250"/>
      <c r="B250" t="s">
        <v>122</v>
      </c>
      <c r="C250" t="s">
        <v>122</v>
      </c>
      <c r="D250" t="s">
        <v>33</v>
      </c>
      <c r="E250" t="s">
        <v>34</v>
      </c>
      <c r="F250" t="str">
        <f>"0008295"</f>
        <v>0008295</v>
      </c>
      <c r="G250">
        <v>1</v>
      </c>
      <c r="H250" t="str">
        <f>"00000001"</f>
        <v>00000001</v>
      </c>
      <c r="I250" t="s">
        <v>35</v>
      </c>
      <c r="J250"/>
      <c r="K250">
        <v>27.97</v>
      </c>
      <c r="L250">
        <v>0.0</v>
      </c>
      <c r="M250"/>
      <c r="N250"/>
      <c r="O250">
        <v>5.03</v>
      </c>
      <c r="P250">
        <v>0.0</v>
      </c>
      <c r="Q250">
        <v>33.0</v>
      </c>
      <c r="R250"/>
      <c r="S250"/>
      <c r="T250"/>
      <c r="U250"/>
      <c r="V250"/>
      <c r="W250">
        <v>18</v>
      </c>
    </row>
    <row r="251" spans="1:23">
      <c r="A251"/>
      <c r="B251" t="s">
        <v>122</v>
      </c>
      <c r="C251" t="s">
        <v>122</v>
      </c>
      <c r="D251" t="s">
        <v>33</v>
      </c>
      <c r="E251" t="s">
        <v>34</v>
      </c>
      <c r="F251" t="str">
        <f>"0008296"</f>
        <v>0008296</v>
      </c>
      <c r="G251">
        <v>1</v>
      </c>
      <c r="H251" t="str">
        <f>"00000001"</f>
        <v>00000001</v>
      </c>
      <c r="I251" t="s">
        <v>35</v>
      </c>
      <c r="J251"/>
      <c r="K251">
        <v>55.93</v>
      </c>
      <c r="L251">
        <v>0.0</v>
      </c>
      <c r="M251"/>
      <c r="N251"/>
      <c r="O251">
        <v>10.07</v>
      </c>
      <c r="P251">
        <v>0.0</v>
      </c>
      <c r="Q251">
        <v>66.0</v>
      </c>
      <c r="R251"/>
      <c r="S251"/>
      <c r="T251"/>
      <c r="U251"/>
      <c r="V251"/>
      <c r="W251">
        <v>18</v>
      </c>
    </row>
    <row r="252" spans="1:23">
      <c r="A252"/>
      <c r="B252" t="s">
        <v>122</v>
      </c>
      <c r="C252" t="s">
        <v>122</v>
      </c>
      <c r="D252" t="s">
        <v>33</v>
      </c>
      <c r="E252" t="s">
        <v>34</v>
      </c>
      <c r="F252" t="str">
        <f>"0008297"</f>
        <v>0008297</v>
      </c>
      <c r="G252">
        <v>1</v>
      </c>
      <c r="H252" t="str">
        <f>"00000001"</f>
        <v>00000001</v>
      </c>
      <c r="I252" t="s">
        <v>35</v>
      </c>
      <c r="J252"/>
      <c r="K252">
        <v>86.44</v>
      </c>
      <c r="L252">
        <v>0.0</v>
      </c>
      <c r="M252"/>
      <c r="N252"/>
      <c r="O252">
        <v>15.56</v>
      </c>
      <c r="P252">
        <v>0.0</v>
      </c>
      <c r="Q252">
        <v>102.0</v>
      </c>
      <c r="R252"/>
      <c r="S252"/>
      <c r="T252"/>
      <c r="U252"/>
      <c r="V252"/>
      <c r="W252">
        <v>18</v>
      </c>
    </row>
    <row r="253" spans="1:23">
      <c r="A253"/>
      <c r="B253" t="s">
        <v>122</v>
      </c>
      <c r="C253" t="s">
        <v>122</v>
      </c>
      <c r="D253" t="s">
        <v>33</v>
      </c>
      <c r="E253" t="s">
        <v>34</v>
      </c>
      <c r="F253" t="str">
        <f>"0008298"</f>
        <v>0008298</v>
      </c>
      <c r="G253">
        <v>1</v>
      </c>
      <c r="H253" t="str">
        <f>"00000001"</f>
        <v>00000001</v>
      </c>
      <c r="I253" t="s">
        <v>35</v>
      </c>
      <c r="J253"/>
      <c r="K253">
        <v>101.69</v>
      </c>
      <c r="L253">
        <v>0.0</v>
      </c>
      <c r="M253"/>
      <c r="N253"/>
      <c r="O253">
        <v>18.31</v>
      </c>
      <c r="P253">
        <v>0.0</v>
      </c>
      <c r="Q253">
        <v>120.0</v>
      </c>
      <c r="R253"/>
      <c r="S253"/>
      <c r="T253"/>
      <c r="U253"/>
      <c r="V253"/>
      <c r="W253">
        <v>18</v>
      </c>
    </row>
    <row r="254" spans="1:23">
      <c r="A254"/>
      <c r="B254" t="s">
        <v>122</v>
      </c>
      <c r="C254" t="s">
        <v>122</v>
      </c>
      <c r="D254" t="s">
        <v>33</v>
      </c>
      <c r="E254" t="s">
        <v>34</v>
      </c>
      <c r="F254" t="str">
        <f>"0008299"</f>
        <v>0008299</v>
      </c>
      <c r="G254">
        <v>1</v>
      </c>
      <c r="H254" t="str">
        <f>"00000001"</f>
        <v>00000001</v>
      </c>
      <c r="I254" t="s">
        <v>35</v>
      </c>
      <c r="J254"/>
      <c r="K254">
        <v>118.64</v>
      </c>
      <c r="L254">
        <v>0.0</v>
      </c>
      <c r="M254"/>
      <c r="N254"/>
      <c r="O254">
        <v>21.36</v>
      </c>
      <c r="P254">
        <v>0.0</v>
      </c>
      <c r="Q254">
        <v>140.0</v>
      </c>
      <c r="R254"/>
      <c r="S254"/>
      <c r="T254"/>
      <c r="U254"/>
      <c r="V254"/>
      <c r="W254">
        <v>18</v>
      </c>
    </row>
    <row r="255" spans="1:23">
      <c r="A255"/>
      <c r="B255" t="s">
        <v>122</v>
      </c>
      <c r="C255" t="s">
        <v>122</v>
      </c>
      <c r="D255" t="s">
        <v>33</v>
      </c>
      <c r="E255" t="s">
        <v>34</v>
      </c>
      <c r="F255" t="str">
        <f>"0008300"</f>
        <v>0008300</v>
      </c>
      <c r="G255">
        <v>1</v>
      </c>
      <c r="H255" t="str">
        <f>"00000001"</f>
        <v>00000001</v>
      </c>
      <c r="I255" t="s">
        <v>35</v>
      </c>
      <c r="J255"/>
      <c r="K255">
        <v>148.31</v>
      </c>
      <c r="L255">
        <v>0.0</v>
      </c>
      <c r="M255"/>
      <c r="N255"/>
      <c r="O255">
        <v>26.69</v>
      </c>
      <c r="P255">
        <v>0.0</v>
      </c>
      <c r="Q255">
        <v>175.0</v>
      </c>
      <c r="R255"/>
      <c r="S255"/>
      <c r="T255"/>
      <c r="U255"/>
      <c r="V255"/>
      <c r="W255">
        <v>18</v>
      </c>
    </row>
    <row r="256" spans="1:23">
      <c r="A256"/>
      <c r="B256" t="s">
        <v>122</v>
      </c>
      <c r="C256" t="s">
        <v>122</v>
      </c>
      <c r="D256" t="s">
        <v>33</v>
      </c>
      <c r="E256" t="s">
        <v>34</v>
      </c>
      <c r="F256" t="str">
        <f>"0008301"</f>
        <v>0008301</v>
      </c>
      <c r="G256">
        <v>6</v>
      </c>
      <c r="H256" t="str">
        <f>"20608473174"</f>
        <v>20608473174</v>
      </c>
      <c r="I256" t="s">
        <v>76</v>
      </c>
      <c r="J256"/>
      <c r="K256">
        <v>22.03</v>
      </c>
      <c r="L256">
        <v>0.0</v>
      </c>
      <c r="M256"/>
      <c r="N256"/>
      <c r="O256">
        <v>3.97</v>
      </c>
      <c r="P256">
        <v>0.0</v>
      </c>
      <c r="Q256">
        <v>26.0</v>
      </c>
      <c r="R256"/>
      <c r="S256"/>
      <c r="T256"/>
      <c r="U256"/>
      <c r="V256"/>
      <c r="W256">
        <v>18</v>
      </c>
    </row>
    <row r="257" spans="1:23">
      <c r="A257"/>
      <c r="B257" t="s">
        <v>122</v>
      </c>
      <c r="C257" t="s">
        <v>122</v>
      </c>
      <c r="D257" t="s">
        <v>33</v>
      </c>
      <c r="E257" t="s">
        <v>34</v>
      </c>
      <c r="F257" t="str">
        <f>"0008302"</f>
        <v>0008302</v>
      </c>
      <c r="G257">
        <v>6</v>
      </c>
      <c r="H257" t="str">
        <f>"20608473174"</f>
        <v>20608473174</v>
      </c>
      <c r="I257" t="s">
        <v>76</v>
      </c>
      <c r="J257"/>
      <c r="K257">
        <v>42.37</v>
      </c>
      <c r="L257">
        <v>0.0</v>
      </c>
      <c r="M257"/>
      <c r="N257"/>
      <c r="O257">
        <v>7.63</v>
      </c>
      <c r="P257">
        <v>0.0</v>
      </c>
      <c r="Q257">
        <v>50.0</v>
      </c>
      <c r="R257"/>
      <c r="S257"/>
      <c r="T257"/>
      <c r="U257"/>
      <c r="V257"/>
      <c r="W257">
        <v>18</v>
      </c>
    </row>
    <row r="258" spans="1:23">
      <c r="A258"/>
      <c r="B258" t="s">
        <v>122</v>
      </c>
      <c r="C258" t="s">
        <v>122</v>
      </c>
      <c r="D258" t="s">
        <v>33</v>
      </c>
      <c r="E258" t="s">
        <v>34</v>
      </c>
      <c r="F258" t="str">
        <f>"0008303"</f>
        <v>0008303</v>
      </c>
      <c r="G258">
        <v>1</v>
      </c>
      <c r="H258" t="str">
        <f>"00000001"</f>
        <v>00000001</v>
      </c>
      <c r="I258" t="s">
        <v>35</v>
      </c>
      <c r="J258"/>
      <c r="K258">
        <v>47.46</v>
      </c>
      <c r="L258">
        <v>0.0</v>
      </c>
      <c r="M258"/>
      <c r="N258"/>
      <c r="O258">
        <v>8.54</v>
      </c>
      <c r="P258">
        <v>0.0</v>
      </c>
      <c r="Q258">
        <v>56.0</v>
      </c>
      <c r="R258"/>
      <c r="S258"/>
      <c r="T258"/>
      <c r="U258"/>
      <c r="V258"/>
      <c r="W258">
        <v>18</v>
      </c>
    </row>
    <row r="259" spans="1:23">
      <c r="A259"/>
      <c r="B259" t="s">
        <v>122</v>
      </c>
      <c r="C259" t="s">
        <v>122</v>
      </c>
      <c r="D259" t="s">
        <v>33</v>
      </c>
      <c r="E259" t="s">
        <v>34</v>
      </c>
      <c r="F259" t="str">
        <f>"0008304"</f>
        <v>0008304</v>
      </c>
      <c r="G259">
        <v>1</v>
      </c>
      <c r="H259" t="str">
        <f>"00000001"</f>
        <v>00000001</v>
      </c>
      <c r="I259" t="s">
        <v>35</v>
      </c>
      <c r="J259"/>
      <c r="K259">
        <v>101.27</v>
      </c>
      <c r="L259">
        <v>0.0</v>
      </c>
      <c r="M259"/>
      <c r="N259"/>
      <c r="O259">
        <v>18.23</v>
      </c>
      <c r="P259">
        <v>0.0</v>
      </c>
      <c r="Q259">
        <v>119.5</v>
      </c>
      <c r="R259"/>
      <c r="S259"/>
      <c r="T259"/>
      <c r="U259"/>
      <c r="V259"/>
      <c r="W259">
        <v>18</v>
      </c>
    </row>
    <row r="260" spans="1:23">
      <c r="A260"/>
      <c r="B260" t="s">
        <v>122</v>
      </c>
      <c r="C260" t="s">
        <v>122</v>
      </c>
      <c r="D260" t="s">
        <v>33</v>
      </c>
      <c r="E260" t="s">
        <v>34</v>
      </c>
      <c r="F260" t="str">
        <f>"0008305"</f>
        <v>0008305</v>
      </c>
      <c r="G260">
        <v>1</v>
      </c>
      <c r="H260" t="str">
        <f>"00000001"</f>
        <v>00000001</v>
      </c>
      <c r="I260" t="s">
        <v>35</v>
      </c>
      <c r="J260"/>
      <c r="K260">
        <v>86.02</v>
      </c>
      <c r="L260">
        <v>0.0</v>
      </c>
      <c r="M260"/>
      <c r="N260"/>
      <c r="O260">
        <v>15.48</v>
      </c>
      <c r="P260">
        <v>0.0</v>
      </c>
      <c r="Q260">
        <v>101.5</v>
      </c>
      <c r="R260"/>
      <c r="S260"/>
      <c r="T260"/>
      <c r="U260"/>
      <c r="V260"/>
      <c r="W260">
        <v>18</v>
      </c>
    </row>
    <row r="261" spans="1:23">
      <c r="A261"/>
      <c r="B261" t="s">
        <v>122</v>
      </c>
      <c r="C261" t="s">
        <v>122</v>
      </c>
      <c r="D261" t="s">
        <v>33</v>
      </c>
      <c r="E261" t="s">
        <v>34</v>
      </c>
      <c r="F261" t="str">
        <f>"0008306"</f>
        <v>0008306</v>
      </c>
      <c r="G261">
        <v>1</v>
      </c>
      <c r="H261" t="str">
        <f>"00000001"</f>
        <v>00000001</v>
      </c>
      <c r="I261" t="s">
        <v>35</v>
      </c>
      <c r="J261"/>
      <c r="K261">
        <v>38.14</v>
      </c>
      <c r="L261">
        <v>0.0</v>
      </c>
      <c r="M261"/>
      <c r="N261"/>
      <c r="O261">
        <v>6.86</v>
      </c>
      <c r="P261">
        <v>0.0</v>
      </c>
      <c r="Q261">
        <v>45.0</v>
      </c>
      <c r="R261"/>
      <c r="S261"/>
      <c r="T261"/>
      <c r="U261"/>
      <c r="V261"/>
      <c r="W261">
        <v>18</v>
      </c>
    </row>
    <row r="262" spans="1:23">
      <c r="A262"/>
      <c r="B262" t="s">
        <v>122</v>
      </c>
      <c r="C262" t="s">
        <v>122</v>
      </c>
      <c r="D262" t="s">
        <v>33</v>
      </c>
      <c r="E262" t="s">
        <v>34</v>
      </c>
      <c r="F262" t="str">
        <f>"0008307"</f>
        <v>0008307</v>
      </c>
      <c r="G262">
        <v>1</v>
      </c>
      <c r="H262" t="str">
        <f>"00000001"</f>
        <v>00000001</v>
      </c>
      <c r="I262" t="s">
        <v>35</v>
      </c>
      <c r="J262"/>
      <c r="K262">
        <v>22.03</v>
      </c>
      <c r="L262">
        <v>0.0</v>
      </c>
      <c r="M262"/>
      <c r="N262"/>
      <c r="O262">
        <v>3.97</v>
      </c>
      <c r="P262">
        <v>0.0</v>
      </c>
      <c r="Q262">
        <v>26.0</v>
      </c>
      <c r="R262"/>
      <c r="S262"/>
      <c r="T262"/>
      <c r="U262"/>
      <c r="V262"/>
      <c r="W262">
        <v>18</v>
      </c>
    </row>
    <row r="263" spans="1:23">
      <c r="A263"/>
      <c r="B263" t="s">
        <v>122</v>
      </c>
      <c r="C263" t="s">
        <v>122</v>
      </c>
      <c r="D263" t="s">
        <v>33</v>
      </c>
      <c r="E263" t="s">
        <v>34</v>
      </c>
      <c r="F263" t="str">
        <f>"0008308"</f>
        <v>0008308</v>
      </c>
      <c r="G263">
        <v>1</v>
      </c>
      <c r="H263" t="str">
        <f>"00000391"</f>
        <v>00000391</v>
      </c>
      <c r="I263" t="s">
        <v>124</v>
      </c>
      <c r="J263"/>
      <c r="K263">
        <v>51.69</v>
      </c>
      <c r="L263">
        <v>0.0</v>
      </c>
      <c r="M263"/>
      <c r="N263"/>
      <c r="O263">
        <v>9.31</v>
      </c>
      <c r="P263">
        <v>0.0</v>
      </c>
      <c r="Q263">
        <v>61.0</v>
      </c>
      <c r="R263"/>
      <c r="S263"/>
      <c r="T263"/>
      <c r="U263"/>
      <c r="V263"/>
      <c r="W263">
        <v>18</v>
      </c>
    </row>
    <row r="264" spans="1:23">
      <c r="A264"/>
      <c r="B264" t="s">
        <v>122</v>
      </c>
      <c r="C264" t="s">
        <v>122</v>
      </c>
      <c r="D264" t="s">
        <v>33</v>
      </c>
      <c r="E264" t="s">
        <v>34</v>
      </c>
      <c r="F264" t="str">
        <f>"0008309"</f>
        <v>0008309</v>
      </c>
      <c r="G264">
        <v>6</v>
      </c>
      <c r="H264" t="str">
        <f>"20491573636"</f>
        <v>20491573636</v>
      </c>
      <c r="I264" t="s">
        <v>96</v>
      </c>
      <c r="J264"/>
      <c r="K264">
        <v>150.85</v>
      </c>
      <c r="L264">
        <v>0.0</v>
      </c>
      <c r="M264"/>
      <c r="N264"/>
      <c r="O264">
        <v>27.15</v>
      </c>
      <c r="P264">
        <v>0.0</v>
      </c>
      <c r="Q264">
        <v>178.0</v>
      </c>
      <c r="R264"/>
      <c r="S264"/>
      <c r="T264"/>
      <c r="U264"/>
      <c r="V264"/>
      <c r="W264">
        <v>18</v>
      </c>
    </row>
    <row r="265" spans="1:23">
      <c r="A265"/>
      <c r="B265" t="s">
        <v>122</v>
      </c>
      <c r="C265" t="s">
        <v>122</v>
      </c>
      <c r="D265" t="s">
        <v>33</v>
      </c>
      <c r="E265" t="s">
        <v>34</v>
      </c>
      <c r="F265" t="str">
        <f>"0008310"</f>
        <v>0008310</v>
      </c>
      <c r="G265">
        <v>1</v>
      </c>
      <c r="H265" t="str">
        <f>"00000001"</f>
        <v>00000001</v>
      </c>
      <c r="I265" t="s">
        <v>35</v>
      </c>
      <c r="J265"/>
      <c r="K265">
        <v>135.59</v>
      </c>
      <c r="L265">
        <v>0.0</v>
      </c>
      <c r="M265"/>
      <c r="N265"/>
      <c r="O265">
        <v>24.41</v>
      </c>
      <c r="P265">
        <v>0.0</v>
      </c>
      <c r="Q265">
        <v>160.0</v>
      </c>
      <c r="R265"/>
      <c r="S265"/>
      <c r="T265"/>
      <c r="U265"/>
      <c r="V265"/>
      <c r="W265">
        <v>18</v>
      </c>
    </row>
    <row r="266" spans="1:23">
      <c r="A266"/>
      <c r="B266" t="s">
        <v>122</v>
      </c>
      <c r="C266" t="s">
        <v>122</v>
      </c>
      <c r="D266" t="s">
        <v>33</v>
      </c>
      <c r="E266" t="s">
        <v>34</v>
      </c>
      <c r="F266" t="str">
        <f>"0008311"</f>
        <v>0008311</v>
      </c>
      <c r="G266">
        <v>1</v>
      </c>
      <c r="H266" t="str">
        <f>"00000001"</f>
        <v>00000001</v>
      </c>
      <c r="I266" t="s">
        <v>35</v>
      </c>
      <c r="J266"/>
      <c r="K266">
        <v>18.64</v>
      </c>
      <c r="L266">
        <v>0.0</v>
      </c>
      <c r="M266"/>
      <c r="N266"/>
      <c r="O266">
        <v>3.36</v>
      </c>
      <c r="P266">
        <v>0.0</v>
      </c>
      <c r="Q266">
        <v>22.0</v>
      </c>
      <c r="R266"/>
      <c r="S266"/>
      <c r="T266"/>
      <c r="U266"/>
      <c r="V266"/>
      <c r="W266">
        <v>18</v>
      </c>
    </row>
    <row r="267" spans="1:23">
      <c r="A267"/>
      <c r="B267" t="s">
        <v>122</v>
      </c>
      <c r="C267" t="s">
        <v>122</v>
      </c>
      <c r="D267" t="s">
        <v>33</v>
      </c>
      <c r="E267" t="s">
        <v>34</v>
      </c>
      <c r="F267" t="str">
        <f>"0008312"</f>
        <v>0008312</v>
      </c>
      <c r="G267">
        <v>1</v>
      </c>
      <c r="H267" t="str">
        <f>"00000001"</f>
        <v>00000001</v>
      </c>
      <c r="I267" t="s">
        <v>35</v>
      </c>
      <c r="J267"/>
      <c r="K267">
        <v>134.75</v>
      </c>
      <c r="L267">
        <v>0.0</v>
      </c>
      <c r="M267"/>
      <c r="N267"/>
      <c r="O267">
        <v>24.25</v>
      </c>
      <c r="P267">
        <v>0.0</v>
      </c>
      <c r="Q267">
        <v>159.0</v>
      </c>
      <c r="R267"/>
      <c r="S267"/>
      <c r="T267"/>
      <c r="U267"/>
      <c r="V267"/>
      <c r="W267">
        <v>18</v>
      </c>
    </row>
    <row r="268" spans="1:23">
      <c r="A268"/>
      <c r="B268" t="s">
        <v>122</v>
      </c>
      <c r="C268" t="s">
        <v>122</v>
      </c>
      <c r="D268" t="s">
        <v>33</v>
      </c>
      <c r="E268" t="s">
        <v>34</v>
      </c>
      <c r="F268" t="str">
        <f>"0008313"</f>
        <v>0008313</v>
      </c>
      <c r="G268">
        <v>1</v>
      </c>
      <c r="H268" t="str">
        <f>"00000001"</f>
        <v>00000001</v>
      </c>
      <c r="I268" t="s">
        <v>35</v>
      </c>
      <c r="J268"/>
      <c r="K268">
        <v>84.75</v>
      </c>
      <c r="L268">
        <v>0.0</v>
      </c>
      <c r="M268"/>
      <c r="N268"/>
      <c r="O268">
        <v>15.25</v>
      </c>
      <c r="P268">
        <v>0.0</v>
      </c>
      <c r="Q268">
        <v>100.0</v>
      </c>
      <c r="R268"/>
      <c r="S268"/>
      <c r="T268"/>
      <c r="U268"/>
      <c r="V268"/>
      <c r="W268">
        <v>18</v>
      </c>
    </row>
    <row r="269" spans="1:23">
      <c r="A269"/>
      <c r="B269" t="s">
        <v>122</v>
      </c>
      <c r="C269" t="s">
        <v>122</v>
      </c>
      <c r="D269" t="s">
        <v>33</v>
      </c>
      <c r="E269" t="s">
        <v>34</v>
      </c>
      <c r="F269" t="str">
        <f>"0008314"</f>
        <v>0008314</v>
      </c>
      <c r="G269">
        <v>1</v>
      </c>
      <c r="H269" t="str">
        <f>"00000001"</f>
        <v>00000001</v>
      </c>
      <c r="I269" t="s">
        <v>35</v>
      </c>
      <c r="J269"/>
      <c r="K269">
        <v>156.78</v>
      </c>
      <c r="L269">
        <v>0.0</v>
      </c>
      <c r="M269"/>
      <c r="N269"/>
      <c r="O269">
        <v>28.22</v>
      </c>
      <c r="P269">
        <v>0.0</v>
      </c>
      <c r="Q269">
        <v>185.0</v>
      </c>
      <c r="R269"/>
      <c r="S269"/>
      <c r="T269"/>
      <c r="U269"/>
      <c r="V269"/>
      <c r="W269">
        <v>18</v>
      </c>
    </row>
    <row r="270" spans="1:23">
      <c r="A270"/>
      <c r="B270" t="s">
        <v>122</v>
      </c>
      <c r="C270" t="s">
        <v>122</v>
      </c>
      <c r="D270" t="s">
        <v>33</v>
      </c>
      <c r="E270" t="s">
        <v>34</v>
      </c>
      <c r="F270" t="str">
        <f>"0008315"</f>
        <v>0008315</v>
      </c>
      <c r="G270">
        <v>1</v>
      </c>
      <c r="H270" t="str">
        <f>"00000001"</f>
        <v>00000001</v>
      </c>
      <c r="I270" t="s">
        <v>35</v>
      </c>
      <c r="J270"/>
      <c r="K270">
        <v>13.56</v>
      </c>
      <c r="L270">
        <v>0.0</v>
      </c>
      <c r="M270"/>
      <c r="N270"/>
      <c r="O270">
        <v>2.44</v>
      </c>
      <c r="P270">
        <v>0.0</v>
      </c>
      <c r="Q270">
        <v>16.0</v>
      </c>
      <c r="R270"/>
      <c r="S270"/>
      <c r="T270"/>
      <c r="U270"/>
      <c r="V270"/>
      <c r="W270">
        <v>18</v>
      </c>
    </row>
    <row r="271" spans="1:23">
      <c r="A271"/>
      <c r="B271" t="s">
        <v>122</v>
      </c>
      <c r="C271" t="s">
        <v>122</v>
      </c>
      <c r="D271" t="s">
        <v>33</v>
      </c>
      <c r="E271" t="s">
        <v>34</v>
      </c>
      <c r="F271" t="str">
        <f>"0008316"</f>
        <v>0008316</v>
      </c>
      <c r="G271">
        <v>1</v>
      </c>
      <c r="H271" t="str">
        <f>"00000001"</f>
        <v>00000001</v>
      </c>
      <c r="I271" t="s">
        <v>35</v>
      </c>
      <c r="J271"/>
      <c r="K271">
        <v>46.61</v>
      </c>
      <c r="L271">
        <v>0.0</v>
      </c>
      <c r="M271"/>
      <c r="N271"/>
      <c r="O271">
        <v>8.39</v>
      </c>
      <c r="P271">
        <v>0.0</v>
      </c>
      <c r="Q271">
        <v>55.0</v>
      </c>
      <c r="R271"/>
      <c r="S271"/>
      <c r="T271"/>
      <c r="U271"/>
      <c r="V271"/>
      <c r="W271">
        <v>18</v>
      </c>
    </row>
    <row r="272" spans="1:23">
      <c r="A272"/>
      <c r="B272" t="s">
        <v>122</v>
      </c>
      <c r="C272" t="s">
        <v>122</v>
      </c>
      <c r="D272" t="s">
        <v>33</v>
      </c>
      <c r="E272" t="s">
        <v>34</v>
      </c>
      <c r="F272" t="str">
        <f>"0008317"</f>
        <v>0008317</v>
      </c>
      <c r="G272">
        <v>1</v>
      </c>
      <c r="H272" t="str">
        <f>"00000001"</f>
        <v>00000001</v>
      </c>
      <c r="I272" t="s">
        <v>35</v>
      </c>
      <c r="J272"/>
      <c r="K272">
        <v>84.75</v>
      </c>
      <c r="L272">
        <v>0.0</v>
      </c>
      <c r="M272"/>
      <c r="N272"/>
      <c r="O272">
        <v>15.25</v>
      </c>
      <c r="P272">
        <v>0.0</v>
      </c>
      <c r="Q272">
        <v>100.0</v>
      </c>
      <c r="R272"/>
      <c r="S272"/>
      <c r="T272"/>
      <c r="U272"/>
      <c r="V272"/>
      <c r="W272">
        <v>18</v>
      </c>
    </row>
    <row r="273" spans="1:23">
      <c r="A273"/>
      <c r="B273" t="s">
        <v>122</v>
      </c>
      <c r="C273" t="s">
        <v>122</v>
      </c>
      <c r="D273" t="s">
        <v>33</v>
      </c>
      <c r="E273" t="s">
        <v>34</v>
      </c>
      <c r="F273" t="str">
        <f>"0008318"</f>
        <v>0008318</v>
      </c>
      <c r="G273">
        <v>1</v>
      </c>
      <c r="H273" t="str">
        <f>"00000001"</f>
        <v>00000001</v>
      </c>
      <c r="I273" t="s">
        <v>35</v>
      </c>
      <c r="J273"/>
      <c r="K273">
        <v>72.03</v>
      </c>
      <c r="L273">
        <v>0.0</v>
      </c>
      <c r="M273"/>
      <c r="N273"/>
      <c r="O273">
        <v>12.97</v>
      </c>
      <c r="P273">
        <v>0.0</v>
      </c>
      <c r="Q273">
        <v>85.0</v>
      </c>
      <c r="R273"/>
      <c r="S273"/>
      <c r="T273"/>
      <c r="U273"/>
      <c r="V273"/>
      <c r="W273">
        <v>18</v>
      </c>
    </row>
    <row r="274" spans="1:23">
      <c r="A274"/>
      <c r="B274" t="s">
        <v>122</v>
      </c>
      <c r="C274" t="s">
        <v>122</v>
      </c>
      <c r="D274" t="s">
        <v>33</v>
      </c>
      <c r="E274" t="s">
        <v>34</v>
      </c>
      <c r="F274" t="str">
        <f>"0008319"</f>
        <v>0008319</v>
      </c>
      <c r="G274">
        <v>1</v>
      </c>
      <c r="H274" t="str">
        <f>"00000001"</f>
        <v>00000001</v>
      </c>
      <c r="I274" t="s">
        <v>35</v>
      </c>
      <c r="J274"/>
      <c r="K274">
        <v>44.07</v>
      </c>
      <c r="L274">
        <v>0.0</v>
      </c>
      <c r="M274"/>
      <c r="N274"/>
      <c r="O274">
        <v>7.93</v>
      </c>
      <c r="P274">
        <v>0.0</v>
      </c>
      <c r="Q274">
        <v>52.0</v>
      </c>
      <c r="R274"/>
      <c r="S274"/>
      <c r="T274"/>
      <c r="U274"/>
      <c r="V274"/>
      <c r="W274">
        <v>18</v>
      </c>
    </row>
    <row r="275" spans="1:23">
      <c r="A275"/>
      <c r="B275" t="s">
        <v>122</v>
      </c>
      <c r="C275" t="s">
        <v>122</v>
      </c>
      <c r="D275" t="s">
        <v>33</v>
      </c>
      <c r="E275" t="s">
        <v>34</v>
      </c>
      <c r="F275" t="str">
        <f>"0008320"</f>
        <v>0008320</v>
      </c>
      <c r="G275">
        <v>1</v>
      </c>
      <c r="H275" t="str">
        <f>"00000001"</f>
        <v>00000001</v>
      </c>
      <c r="I275" t="s">
        <v>35</v>
      </c>
      <c r="J275"/>
      <c r="K275">
        <v>50.85</v>
      </c>
      <c r="L275">
        <v>0.0</v>
      </c>
      <c r="M275"/>
      <c r="N275"/>
      <c r="O275">
        <v>9.15</v>
      </c>
      <c r="P275">
        <v>0.0</v>
      </c>
      <c r="Q275">
        <v>60.0</v>
      </c>
      <c r="R275"/>
      <c r="S275"/>
      <c r="T275"/>
      <c r="U275"/>
      <c r="V275"/>
      <c r="W275">
        <v>18</v>
      </c>
    </row>
    <row r="276" spans="1:23">
      <c r="A276"/>
      <c r="B276" t="s">
        <v>122</v>
      </c>
      <c r="C276" t="s">
        <v>122</v>
      </c>
      <c r="D276" t="s">
        <v>33</v>
      </c>
      <c r="E276" t="s">
        <v>34</v>
      </c>
      <c r="F276" t="str">
        <f>"0008321"</f>
        <v>0008321</v>
      </c>
      <c r="G276">
        <v>1</v>
      </c>
      <c r="H276" t="str">
        <f>"00000001"</f>
        <v>00000001</v>
      </c>
      <c r="I276" t="s">
        <v>35</v>
      </c>
      <c r="J276"/>
      <c r="K276">
        <v>144.92</v>
      </c>
      <c r="L276">
        <v>0.0</v>
      </c>
      <c r="M276"/>
      <c r="N276"/>
      <c r="O276">
        <v>26.08</v>
      </c>
      <c r="P276">
        <v>0.0</v>
      </c>
      <c r="Q276">
        <v>171.0</v>
      </c>
      <c r="R276"/>
      <c r="S276"/>
      <c r="T276"/>
      <c r="U276"/>
      <c r="V276"/>
      <c r="W276">
        <v>18</v>
      </c>
    </row>
    <row r="277" spans="1:23">
      <c r="A277"/>
      <c r="B277" t="s">
        <v>122</v>
      </c>
      <c r="C277" t="s">
        <v>122</v>
      </c>
      <c r="D277" t="s">
        <v>33</v>
      </c>
      <c r="E277" t="s">
        <v>34</v>
      </c>
      <c r="F277" t="str">
        <f>"0008322"</f>
        <v>0008322</v>
      </c>
      <c r="G277">
        <v>1</v>
      </c>
      <c r="H277" t="str">
        <f>"00000001"</f>
        <v>00000001</v>
      </c>
      <c r="I277" t="s">
        <v>35</v>
      </c>
      <c r="J277"/>
      <c r="K277">
        <v>47.46</v>
      </c>
      <c r="L277">
        <v>0.0</v>
      </c>
      <c r="M277"/>
      <c r="N277"/>
      <c r="O277">
        <v>8.54</v>
      </c>
      <c r="P277">
        <v>0.0</v>
      </c>
      <c r="Q277">
        <v>56.0</v>
      </c>
      <c r="R277"/>
      <c r="S277"/>
      <c r="T277"/>
      <c r="U277"/>
      <c r="V277"/>
      <c r="W277">
        <v>18</v>
      </c>
    </row>
    <row r="278" spans="1:23">
      <c r="A278"/>
      <c r="B278" t="s">
        <v>122</v>
      </c>
      <c r="C278" t="s">
        <v>122</v>
      </c>
      <c r="D278" t="s">
        <v>33</v>
      </c>
      <c r="E278" t="s">
        <v>34</v>
      </c>
      <c r="F278" t="str">
        <f>"0008323"</f>
        <v>0008323</v>
      </c>
      <c r="G278">
        <v>1</v>
      </c>
      <c r="H278" t="str">
        <f>"00000001"</f>
        <v>00000001</v>
      </c>
      <c r="I278" t="s">
        <v>35</v>
      </c>
      <c r="J278"/>
      <c r="K278">
        <v>32.63</v>
      </c>
      <c r="L278">
        <v>0.0</v>
      </c>
      <c r="M278"/>
      <c r="N278"/>
      <c r="O278">
        <v>5.87</v>
      </c>
      <c r="P278">
        <v>0.0</v>
      </c>
      <c r="Q278">
        <v>38.5</v>
      </c>
      <c r="R278"/>
      <c r="S278"/>
      <c r="T278"/>
      <c r="U278"/>
      <c r="V278"/>
      <c r="W278">
        <v>18</v>
      </c>
    </row>
    <row r="279" spans="1:23">
      <c r="A279"/>
      <c r="B279" t="s">
        <v>122</v>
      </c>
      <c r="C279" t="s">
        <v>122</v>
      </c>
      <c r="D279" t="s">
        <v>33</v>
      </c>
      <c r="E279" t="s">
        <v>34</v>
      </c>
      <c r="F279" t="str">
        <f>"0008324"</f>
        <v>0008324</v>
      </c>
      <c r="G279">
        <v>1</v>
      </c>
      <c r="H279" t="str">
        <f>"00000001"</f>
        <v>00000001</v>
      </c>
      <c r="I279" t="s">
        <v>35</v>
      </c>
      <c r="J279"/>
      <c r="K279">
        <v>32.2</v>
      </c>
      <c r="L279">
        <v>0.0</v>
      </c>
      <c r="M279"/>
      <c r="N279"/>
      <c r="O279">
        <v>5.8</v>
      </c>
      <c r="P279">
        <v>0.0</v>
      </c>
      <c r="Q279">
        <v>38.0</v>
      </c>
      <c r="R279"/>
      <c r="S279"/>
      <c r="T279"/>
      <c r="U279"/>
      <c r="V279"/>
      <c r="W279">
        <v>18</v>
      </c>
    </row>
    <row r="280" spans="1:23">
      <c r="A280"/>
      <c r="B280" t="s">
        <v>122</v>
      </c>
      <c r="C280" t="s">
        <v>122</v>
      </c>
      <c r="D280" t="s">
        <v>33</v>
      </c>
      <c r="E280" t="s">
        <v>34</v>
      </c>
      <c r="F280" t="str">
        <f>"0008325"</f>
        <v>0008325</v>
      </c>
      <c r="G280">
        <v>1</v>
      </c>
      <c r="H280" t="str">
        <f>"00000001"</f>
        <v>00000001</v>
      </c>
      <c r="I280" t="s">
        <v>35</v>
      </c>
      <c r="J280"/>
      <c r="K280">
        <v>72.03</v>
      </c>
      <c r="L280">
        <v>0.0</v>
      </c>
      <c r="M280"/>
      <c r="N280"/>
      <c r="O280">
        <v>12.97</v>
      </c>
      <c r="P280">
        <v>0.0</v>
      </c>
      <c r="Q280">
        <v>85.0</v>
      </c>
      <c r="R280"/>
      <c r="S280"/>
      <c r="T280"/>
      <c r="U280"/>
      <c r="V280"/>
      <c r="W280">
        <v>18</v>
      </c>
    </row>
    <row r="281" spans="1:23">
      <c r="A281"/>
      <c r="B281" t="s">
        <v>122</v>
      </c>
      <c r="C281" t="s">
        <v>122</v>
      </c>
      <c r="D281" t="s">
        <v>33</v>
      </c>
      <c r="E281" t="s">
        <v>34</v>
      </c>
      <c r="F281" t="str">
        <f>"0008326"</f>
        <v>0008326</v>
      </c>
      <c r="G281">
        <v>1</v>
      </c>
      <c r="H281" t="str">
        <f>"00000001"</f>
        <v>00000001</v>
      </c>
      <c r="I281" t="s">
        <v>35</v>
      </c>
      <c r="J281"/>
      <c r="K281">
        <v>22.88</v>
      </c>
      <c r="L281">
        <v>0.0</v>
      </c>
      <c r="M281"/>
      <c r="N281"/>
      <c r="O281">
        <v>4.12</v>
      </c>
      <c r="P281">
        <v>0.0</v>
      </c>
      <c r="Q281">
        <v>27.0</v>
      </c>
      <c r="R281"/>
      <c r="S281"/>
      <c r="T281"/>
      <c r="U281"/>
      <c r="V281"/>
      <c r="W281">
        <v>18</v>
      </c>
    </row>
    <row r="282" spans="1:23">
      <c r="A282"/>
      <c r="B282" t="s">
        <v>122</v>
      </c>
      <c r="C282" t="s">
        <v>122</v>
      </c>
      <c r="D282" t="s">
        <v>33</v>
      </c>
      <c r="E282" t="s">
        <v>34</v>
      </c>
      <c r="F282" t="str">
        <f>"0008327"</f>
        <v>0008327</v>
      </c>
      <c r="G282">
        <v>1</v>
      </c>
      <c r="H282" t="str">
        <f>"00000001"</f>
        <v>00000001</v>
      </c>
      <c r="I282" t="s">
        <v>35</v>
      </c>
      <c r="J282"/>
      <c r="K282">
        <v>254.24</v>
      </c>
      <c r="L282">
        <v>0.0</v>
      </c>
      <c r="M282"/>
      <c r="N282"/>
      <c r="O282">
        <v>45.76</v>
      </c>
      <c r="P282">
        <v>0.0</v>
      </c>
      <c r="Q282">
        <v>300.0</v>
      </c>
      <c r="R282"/>
      <c r="S282"/>
      <c r="T282"/>
      <c r="U282"/>
      <c r="V282"/>
      <c r="W282">
        <v>18</v>
      </c>
    </row>
    <row r="283" spans="1:23">
      <c r="A283"/>
      <c r="B283" t="s">
        <v>122</v>
      </c>
      <c r="C283" t="s">
        <v>122</v>
      </c>
      <c r="D283" t="s">
        <v>33</v>
      </c>
      <c r="E283" t="s">
        <v>34</v>
      </c>
      <c r="F283" t="str">
        <f>"0008328"</f>
        <v>0008328</v>
      </c>
      <c r="G283">
        <v>1</v>
      </c>
      <c r="H283" t="str">
        <f>"00000001"</f>
        <v>00000001</v>
      </c>
      <c r="I283" t="s">
        <v>35</v>
      </c>
      <c r="J283"/>
      <c r="K283">
        <v>47.46</v>
      </c>
      <c r="L283">
        <v>0.0</v>
      </c>
      <c r="M283"/>
      <c r="N283"/>
      <c r="O283">
        <v>8.54</v>
      </c>
      <c r="P283">
        <v>0.0</v>
      </c>
      <c r="Q283">
        <v>56.0</v>
      </c>
      <c r="R283"/>
      <c r="S283"/>
      <c r="T283"/>
      <c r="U283"/>
      <c r="V283"/>
      <c r="W283">
        <v>18</v>
      </c>
    </row>
    <row r="284" spans="1:23">
      <c r="A284"/>
      <c r="B284" t="s">
        <v>122</v>
      </c>
      <c r="C284" t="s">
        <v>122</v>
      </c>
      <c r="D284" t="s">
        <v>33</v>
      </c>
      <c r="E284" t="s">
        <v>34</v>
      </c>
      <c r="F284" t="str">
        <f>"0008329"</f>
        <v>0008329</v>
      </c>
      <c r="G284">
        <v>1</v>
      </c>
      <c r="H284" t="str">
        <f>"00000001"</f>
        <v>00000001</v>
      </c>
      <c r="I284" t="s">
        <v>35</v>
      </c>
      <c r="J284"/>
      <c r="K284">
        <v>50.0</v>
      </c>
      <c r="L284">
        <v>0.0</v>
      </c>
      <c r="M284"/>
      <c r="N284"/>
      <c r="O284">
        <v>9.0</v>
      </c>
      <c r="P284">
        <v>0.0</v>
      </c>
      <c r="Q284">
        <v>59.0</v>
      </c>
      <c r="R284"/>
      <c r="S284"/>
      <c r="T284"/>
      <c r="U284"/>
      <c r="V284"/>
      <c r="W284">
        <v>18</v>
      </c>
    </row>
    <row r="285" spans="1:23">
      <c r="A285"/>
      <c r="B285" t="s">
        <v>122</v>
      </c>
      <c r="C285" t="s">
        <v>122</v>
      </c>
      <c r="D285" t="s">
        <v>33</v>
      </c>
      <c r="E285" t="s">
        <v>34</v>
      </c>
      <c r="F285" t="str">
        <f>"0008330"</f>
        <v>0008330</v>
      </c>
      <c r="G285">
        <v>1</v>
      </c>
      <c r="H285" t="str">
        <f>"00000001"</f>
        <v>00000001</v>
      </c>
      <c r="I285" t="s">
        <v>35</v>
      </c>
      <c r="J285"/>
      <c r="K285">
        <v>29.66</v>
      </c>
      <c r="L285">
        <v>0.0</v>
      </c>
      <c r="M285"/>
      <c r="N285"/>
      <c r="O285">
        <v>5.34</v>
      </c>
      <c r="P285">
        <v>0.0</v>
      </c>
      <c r="Q285">
        <v>35.0</v>
      </c>
      <c r="R285"/>
      <c r="S285"/>
      <c r="T285"/>
      <c r="U285"/>
      <c r="V285"/>
      <c r="W285">
        <v>18</v>
      </c>
    </row>
    <row r="286" spans="1:23">
      <c r="A286"/>
      <c r="B286" t="s">
        <v>122</v>
      </c>
      <c r="C286" t="s">
        <v>122</v>
      </c>
      <c r="D286" t="s">
        <v>33</v>
      </c>
      <c r="E286" t="s">
        <v>34</v>
      </c>
      <c r="F286" t="str">
        <f>"0008331"</f>
        <v>0008331</v>
      </c>
      <c r="G286">
        <v>1</v>
      </c>
      <c r="H286" t="str">
        <f>"00000001"</f>
        <v>00000001</v>
      </c>
      <c r="I286" t="s">
        <v>35</v>
      </c>
      <c r="J286"/>
      <c r="K286">
        <v>18.64</v>
      </c>
      <c r="L286">
        <v>0.0</v>
      </c>
      <c r="M286"/>
      <c r="N286"/>
      <c r="O286">
        <v>3.36</v>
      </c>
      <c r="P286">
        <v>0.0</v>
      </c>
      <c r="Q286">
        <v>22.0</v>
      </c>
      <c r="R286"/>
      <c r="S286"/>
      <c r="T286"/>
      <c r="U286"/>
      <c r="V286"/>
      <c r="W286">
        <v>18</v>
      </c>
    </row>
    <row r="287" spans="1:23">
      <c r="A287"/>
      <c r="B287" t="s">
        <v>122</v>
      </c>
      <c r="C287" t="s">
        <v>122</v>
      </c>
      <c r="D287" t="s">
        <v>33</v>
      </c>
      <c r="E287" t="s">
        <v>34</v>
      </c>
      <c r="F287" t="str">
        <f>"0008332"</f>
        <v>0008332</v>
      </c>
      <c r="G287">
        <v>1</v>
      </c>
      <c r="H287" t="str">
        <f>"00000001"</f>
        <v>00000001</v>
      </c>
      <c r="I287" t="s">
        <v>35</v>
      </c>
      <c r="J287"/>
      <c r="K287">
        <v>12.71</v>
      </c>
      <c r="L287">
        <v>0.0</v>
      </c>
      <c r="M287"/>
      <c r="N287"/>
      <c r="O287">
        <v>2.29</v>
      </c>
      <c r="P287">
        <v>0.0</v>
      </c>
      <c r="Q287">
        <v>15.0</v>
      </c>
      <c r="R287"/>
      <c r="S287"/>
      <c r="T287"/>
      <c r="U287"/>
      <c r="V287"/>
      <c r="W287">
        <v>18</v>
      </c>
    </row>
    <row r="288" spans="1:23">
      <c r="A288"/>
      <c r="B288" t="s">
        <v>122</v>
      </c>
      <c r="C288" t="s">
        <v>122</v>
      </c>
      <c r="D288" t="s">
        <v>33</v>
      </c>
      <c r="E288" t="s">
        <v>34</v>
      </c>
      <c r="F288" t="str">
        <f>"0008333"</f>
        <v>0008333</v>
      </c>
      <c r="G288">
        <v>1</v>
      </c>
      <c r="H288" t="str">
        <f>"00000001"</f>
        <v>00000001</v>
      </c>
      <c r="I288" t="s">
        <v>35</v>
      </c>
      <c r="J288"/>
      <c r="K288">
        <v>21.19</v>
      </c>
      <c r="L288">
        <v>0.0</v>
      </c>
      <c r="M288"/>
      <c r="N288"/>
      <c r="O288">
        <v>3.81</v>
      </c>
      <c r="P288">
        <v>0.0</v>
      </c>
      <c r="Q288">
        <v>25.0</v>
      </c>
      <c r="R288"/>
      <c r="S288"/>
      <c r="T288"/>
      <c r="U288"/>
      <c r="V288"/>
      <c r="W288">
        <v>18</v>
      </c>
    </row>
    <row r="289" spans="1:23">
      <c r="A289"/>
      <c r="B289" t="s">
        <v>122</v>
      </c>
      <c r="C289" t="s">
        <v>122</v>
      </c>
      <c r="D289" t="s">
        <v>33</v>
      </c>
      <c r="E289" t="s">
        <v>34</v>
      </c>
      <c r="F289" t="str">
        <f>"0008334"</f>
        <v>0008334</v>
      </c>
      <c r="G289">
        <v>1</v>
      </c>
      <c r="H289" t="str">
        <f>"00000001"</f>
        <v>00000001</v>
      </c>
      <c r="I289" t="s">
        <v>35</v>
      </c>
      <c r="J289"/>
      <c r="K289">
        <v>20.34</v>
      </c>
      <c r="L289">
        <v>0.0</v>
      </c>
      <c r="M289"/>
      <c r="N289"/>
      <c r="O289">
        <v>3.66</v>
      </c>
      <c r="P289">
        <v>0.0</v>
      </c>
      <c r="Q289">
        <v>24.0</v>
      </c>
      <c r="R289"/>
      <c r="S289"/>
      <c r="T289"/>
      <c r="U289"/>
      <c r="V289"/>
      <c r="W289">
        <v>18</v>
      </c>
    </row>
    <row r="290" spans="1:23">
      <c r="A290"/>
      <c r="B290" t="s">
        <v>122</v>
      </c>
      <c r="C290" t="s">
        <v>122</v>
      </c>
      <c r="D290" t="s">
        <v>33</v>
      </c>
      <c r="E290" t="s">
        <v>34</v>
      </c>
      <c r="F290" t="str">
        <f>"0008335"</f>
        <v>0008335</v>
      </c>
      <c r="G290">
        <v>1</v>
      </c>
      <c r="H290" t="str">
        <f>"00000001"</f>
        <v>00000001</v>
      </c>
      <c r="I290" t="s">
        <v>35</v>
      </c>
      <c r="J290"/>
      <c r="K290">
        <v>55.08</v>
      </c>
      <c r="L290">
        <v>0.0</v>
      </c>
      <c r="M290"/>
      <c r="N290"/>
      <c r="O290">
        <v>9.92</v>
      </c>
      <c r="P290">
        <v>0.0</v>
      </c>
      <c r="Q290">
        <v>65.0</v>
      </c>
      <c r="R290"/>
      <c r="S290"/>
      <c r="T290"/>
      <c r="U290"/>
      <c r="V290"/>
      <c r="W290">
        <v>18</v>
      </c>
    </row>
    <row r="291" spans="1:23">
      <c r="A291"/>
      <c r="B291" t="s">
        <v>122</v>
      </c>
      <c r="C291" t="s">
        <v>122</v>
      </c>
      <c r="D291" t="s">
        <v>33</v>
      </c>
      <c r="E291" t="s">
        <v>34</v>
      </c>
      <c r="F291" t="str">
        <f>"0008336"</f>
        <v>0008336</v>
      </c>
      <c r="G291">
        <v>1</v>
      </c>
      <c r="H291" t="str">
        <f>"00000001"</f>
        <v>00000001</v>
      </c>
      <c r="I291" t="s">
        <v>35</v>
      </c>
      <c r="J291"/>
      <c r="K291">
        <v>17.8</v>
      </c>
      <c r="L291">
        <v>0.0</v>
      </c>
      <c r="M291"/>
      <c r="N291"/>
      <c r="O291">
        <v>3.2</v>
      </c>
      <c r="P291">
        <v>0.0</v>
      </c>
      <c r="Q291">
        <v>21.0</v>
      </c>
      <c r="R291"/>
      <c r="S291"/>
      <c r="T291"/>
      <c r="U291"/>
      <c r="V291"/>
      <c r="W291">
        <v>18</v>
      </c>
    </row>
    <row r="292" spans="1:23">
      <c r="A292"/>
      <c r="B292" t="s">
        <v>122</v>
      </c>
      <c r="C292" t="s">
        <v>122</v>
      </c>
      <c r="D292" t="s">
        <v>33</v>
      </c>
      <c r="E292" t="s">
        <v>34</v>
      </c>
      <c r="F292" t="str">
        <f>"0008337"</f>
        <v>0008337</v>
      </c>
      <c r="G292">
        <v>1</v>
      </c>
      <c r="H292" t="str">
        <f>"00000001"</f>
        <v>00000001</v>
      </c>
      <c r="I292" t="s">
        <v>35</v>
      </c>
      <c r="J292"/>
      <c r="K292">
        <v>40.68</v>
      </c>
      <c r="L292">
        <v>0.0</v>
      </c>
      <c r="M292"/>
      <c r="N292"/>
      <c r="O292">
        <v>7.32</v>
      </c>
      <c r="P292">
        <v>0.0</v>
      </c>
      <c r="Q292">
        <v>48.0</v>
      </c>
      <c r="R292"/>
      <c r="S292"/>
      <c r="T292"/>
      <c r="U292"/>
      <c r="V292"/>
      <c r="W292">
        <v>18</v>
      </c>
    </row>
    <row r="293" spans="1:23">
      <c r="A293"/>
      <c r="B293" t="s">
        <v>122</v>
      </c>
      <c r="C293" t="s">
        <v>122</v>
      </c>
      <c r="D293" t="s">
        <v>33</v>
      </c>
      <c r="E293" t="s">
        <v>34</v>
      </c>
      <c r="F293" t="str">
        <f>"0008338"</f>
        <v>0008338</v>
      </c>
      <c r="G293">
        <v>1</v>
      </c>
      <c r="H293" t="str">
        <f>"00000001"</f>
        <v>00000001</v>
      </c>
      <c r="I293" t="s">
        <v>35</v>
      </c>
      <c r="J293"/>
      <c r="K293">
        <v>11.86</v>
      </c>
      <c r="L293">
        <v>0.0</v>
      </c>
      <c r="M293"/>
      <c r="N293"/>
      <c r="O293">
        <v>2.14</v>
      </c>
      <c r="P293">
        <v>0.0</v>
      </c>
      <c r="Q293">
        <v>14.0</v>
      </c>
      <c r="R293"/>
      <c r="S293"/>
      <c r="T293"/>
      <c r="U293"/>
      <c r="V293"/>
      <c r="W293">
        <v>18</v>
      </c>
    </row>
    <row r="294" spans="1:23">
      <c r="A294"/>
      <c r="B294" t="s">
        <v>122</v>
      </c>
      <c r="C294" t="s">
        <v>122</v>
      </c>
      <c r="D294" t="s">
        <v>33</v>
      </c>
      <c r="E294" t="s">
        <v>34</v>
      </c>
      <c r="F294" t="str">
        <f>"0008339"</f>
        <v>0008339</v>
      </c>
      <c r="G294">
        <v>6</v>
      </c>
      <c r="H294" t="str">
        <f>"20602050506"</f>
        <v>20602050506</v>
      </c>
      <c r="I294" t="s">
        <v>41</v>
      </c>
      <c r="J294"/>
      <c r="K294">
        <v>42.37</v>
      </c>
      <c r="L294">
        <v>0.0</v>
      </c>
      <c r="M294"/>
      <c r="N294"/>
      <c r="O294">
        <v>7.63</v>
      </c>
      <c r="P294">
        <v>0.0</v>
      </c>
      <c r="Q294">
        <v>50.0</v>
      </c>
      <c r="R294"/>
      <c r="S294"/>
      <c r="T294"/>
      <c r="U294"/>
      <c r="V294"/>
      <c r="W294">
        <v>18</v>
      </c>
    </row>
    <row r="295" spans="1:23">
      <c r="A295"/>
      <c r="B295" t="s">
        <v>125</v>
      </c>
      <c r="C295" t="s">
        <v>125</v>
      </c>
      <c r="D295" t="s">
        <v>33</v>
      </c>
      <c r="E295" t="s">
        <v>34</v>
      </c>
      <c r="F295" t="str">
        <f>"0008340"</f>
        <v>0008340</v>
      </c>
      <c r="G295">
        <v>1</v>
      </c>
      <c r="H295" t="str">
        <f>"IEN82668"</f>
        <v>IEN82668</v>
      </c>
      <c r="I295" t="s">
        <v>126</v>
      </c>
      <c r="J295"/>
      <c r="K295">
        <v>10.17</v>
      </c>
      <c r="L295">
        <v>0.0</v>
      </c>
      <c r="M295"/>
      <c r="N295"/>
      <c r="O295">
        <v>1.83</v>
      </c>
      <c r="P295">
        <v>0.0</v>
      </c>
      <c r="Q295">
        <v>12.0</v>
      </c>
      <c r="R295"/>
      <c r="S295"/>
      <c r="T295"/>
      <c r="U295"/>
      <c r="V295"/>
      <c r="W295">
        <v>18</v>
      </c>
    </row>
    <row r="296" spans="1:23">
      <c r="A296"/>
      <c r="B296" t="s">
        <v>125</v>
      </c>
      <c r="C296" t="s">
        <v>125</v>
      </c>
      <c r="D296" t="s">
        <v>37</v>
      </c>
      <c r="E296" t="s">
        <v>38</v>
      </c>
      <c r="F296" t="str">
        <f>"0000583"</f>
        <v>0000583</v>
      </c>
      <c r="G296">
        <v>6</v>
      </c>
      <c r="H296" t="str">
        <f>"20326108627"</f>
        <v>20326108627</v>
      </c>
      <c r="I296" t="s">
        <v>44</v>
      </c>
      <c r="J296"/>
      <c r="K296">
        <v>105.93</v>
      </c>
      <c r="L296">
        <v>0.0</v>
      </c>
      <c r="M296"/>
      <c r="N296"/>
      <c r="O296">
        <v>19.07</v>
      </c>
      <c r="P296">
        <v>0.0</v>
      </c>
      <c r="Q296">
        <v>125.0</v>
      </c>
      <c r="R296"/>
      <c r="S296"/>
      <c r="T296"/>
      <c r="U296"/>
      <c r="V296"/>
      <c r="W296">
        <v>18</v>
      </c>
    </row>
    <row r="297" spans="1:23">
      <c r="A297"/>
      <c r="B297" t="s">
        <v>125</v>
      </c>
      <c r="C297" t="s">
        <v>125</v>
      </c>
      <c r="D297" t="s">
        <v>37</v>
      </c>
      <c r="E297" t="s">
        <v>38</v>
      </c>
      <c r="F297" t="str">
        <f>"0000584"</f>
        <v>0000584</v>
      </c>
      <c r="G297">
        <v>6</v>
      </c>
      <c r="H297" t="str">
        <f>"20311363264"</f>
        <v>20311363264</v>
      </c>
      <c r="I297" t="s">
        <v>127</v>
      </c>
      <c r="J297"/>
      <c r="K297">
        <v>21.19</v>
      </c>
      <c r="L297">
        <v>0.0</v>
      </c>
      <c r="M297"/>
      <c r="N297"/>
      <c r="O297">
        <v>3.81</v>
      </c>
      <c r="P297">
        <v>0.0</v>
      </c>
      <c r="Q297">
        <v>25.0</v>
      </c>
      <c r="R297"/>
      <c r="S297"/>
      <c r="T297"/>
      <c r="U297"/>
      <c r="V297"/>
      <c r="W297">
        <v>18</v>
      </c>
    </row>
    <row r="298" spans="1:23">
      <c r="A298"/>
      <c r="B298" t="s">
        <v>125</v>
      </c>
      <c r="C298" t="s">
        <v>125</v>
      </c>
      <c r="D298" t="s">
        <v>33</v>
      </c>
      <c r="E298" t="s">
        <v>34</v>
      </c>
      <c r="F298" t="str">
        <f>"0008341"</f>
        <v>0008341</v>
      </c>
      <c r="G298">
        <v>1</v>
      </c>
      <c r="H298" t="str">
        <f>"00000001"</f>
        <v>00000001</v>
      </c>
      <c r="I298" t="s">
        <v>35</v>
      </c>
      <c r="J298"/>
      <c r="K298">
        <v>7.63</v>
      </c>
      <c r="L298">
        <v>0.0</v>
      </c>
      <c r="M298"/>
      <c r="N298"/>
      <c r="O298">
        <v>1.37</v>
      </c>
      <c r="P298">
        <v>0.0</v>
      </c>
      <c r="Q298">
        <v>9.0</v>
      </c>
      <c r="R298"/>
      <c r="S298"/>
      <c r="T298"/>
      <c r="U298"/>
      <c r="V298"/>
      <c r="W298">
        <v>18</v>
      </c>
    </row>
    <row r="299" spans="1:23">
      <c r="A299"/>
      <c r="B299" t="s">
        <v>125</v>
      </c>
      <c r="C299" t="s">
        <v>125</v>
      </c>
      <c r="D299" t="s">
        <v>33</v>
      </c>
      <c r="E299" t="s">
        <v>34</v>
      </c>
      <c r="F299" t="str">
        <f>"0008342"</f>
        <v>0008342</v>
      </c>
      <c r="G299">
        <v>1</v>
      </c>
      <c r="H299" t="str">
        <f>"0000CFCA"</f>
        <v>0000CFCA</v>
      </c>
      <c r="I299" t="s">
        <v>128</v>
      </c>
      <c r="J299"/>
      <c r="K299">
        <v>274.58</v>
      </c>
      <c r="L299">
        <v>0.0</v>
      </c>
      <c r="M299"/>
      <c r="N299"/>
      <c r="O299">
        <v>49.42</v>
      </c>
      <c r="P299">
        <v>0.0</v>
      </c>
      <c r="Q299">
        <v>324.0</v>
      </c>
      <c r="R299"/>
      <c r="S299"/>
      <c r="T299"/>
      <c r="U299"/>
      <c r="V299"/>
      <c r="W299">
        <v>18</v>
      </c>
    </row>
    <row r="300" spans="1:23">
      <c r="A300"/>
      <c r="B300" t="s">
        <v>125</v>
      </c>
      <c r="C300" t="s">
        <v>125</v>
      </c>
      <c r="D300" t="s">
        <v>33</v>
      </c>
      <c r="E300" t="s">
        <v>34</v>
      </c>
      <c r="F300" t="str">
        <f>"0008343"</f>
        <v>0008343</v>
      </c>
      <c r="G300">
        <v>1</v>
      </c>
      <c r="H300" t="str">
        <f>"00000001"</f>
        <v>00000001</v>
      </c>
      <c r="I300" t="s">
        <v>35</v>
      </c>
      <c r="J300"/>
      <c r="K300">
        <v>84.75</v>
      </c>
      <c r="L300">
        <v>0.0</v>
      </c>
      <c r="M300"/>
      <c r="N300"/>
      <c r="O300">
        <v>15.25</v>
      </c>
      <c r="P300">
        <v>0.0</v>
      </c>
      <c r="Q300">
        <v>100.0</v>
      </c>
      <c r="R300"/>
      <c r="S300"/>
      <c r="T300"/>
      <c r="U300"/>
      <c r="V300"/>
      <c r="W300">
        <v>18</v>
      </c>
    </row>
    <row r="301" spans="1:23">
      <c r="A301"/>
      <c r="B301" t="s">
        <v>125</v>
      </c>
      <c r="C301" t="s">
        <v>125</v>
      </c>
      <c r="D301" t="s">
        <v>33</v>
      </c>
      <c r="E301" t="s">
        <v>34</v>
      </c>
      <c r="F301" t="str">
        <f>"0008344"</f>
        <v>0008344</v>
      </c>
      <c r="G301">
        <v>1</v>
      </c>
      <c r="H301" t="str">
        <f>"00000001"</f>
        <v>00000001</v>
      </c>
      <c r="I301" t="s">
        <v>35</v>
      </c>
      <c r="J301"/>
      <c r="K301">
        <v>156.78</v>
      </c>
      <c r="L301">
        <v>0.0</v>
      </c>
      <c r="M301"/>
      <c r="N301"/>
      <c r="O301">
        <v>28.22</v>
      </c>
      <c r="P301">
        <v>0.0</v>
      </c>
      <c r="Q301">
        <v>185.0</v>
      </c>
      <c r="R301"/>
      <c r="S301"/>
      <c r="T301"/>
      <c r="U301"/>
      <c r="V301"/>
      <c r="W301">
        <v>18</v>
      </c>
    </row>
    <row r="302" spans="1:23">
      <c r="A302"/>
      <c r="B302" t="s">
        <v>125</v>
      </c>
      <c r="C302" t="s">
        <v>125</v>
      </c>
      <c r="D302" t="s">
        <v>33</v>
      </c>
      <c r="E302" t="s">
        <v>34</v>
      </c>
      <c r="F302" t="str">
        <f>"0008345"</f>
        <v>0008345</v>
      </c>
      <c r="G302">
        <v>1</v>
      </c>
      <c r="H302" t="str">
        <f>"00000001"</f>
        <v>00000001</v>
      </c>
      <c r="I302" t="s">
        <v>35</v>
      </c>
      <c r="J302"/>
      <c r="K302">
        <v>127.12</v>
      </c>
      <c r="L302">
        <v>0.0</v>
      </c>
      <c r="M302"/>
      <c r="N302"/>
      <c r="O302">
        <v>22.88</v>
      </c>
      <c r="P302">
        <v>0.0</v>
      </c>
      <c r="Q302">
        <v>150.0</v>
      </c>
      <c r="R302"/>
      <c r="S302"/>
      <c r="T302"/>
      <c r="U302"/>
      <c r="V302"/>
      <c r="W302">
        <v>18</v>
      </c>
    </row>
    <row r="303" spans="1:23">
      <c r="A303"/>
      <c r="B303" t="s">
        <v>125</v>
      </c>
      <c r="C303" t="s">
        <v>125</v>
      </c>
      <c r="D303" t="s">
        <v>33</v>
      </c>
      <c r="E303" t="s">
        <v>34</v>
      </c>
      <c r="F303" t="str">
        <f>"0008346"</f>
        <v>0008346</v>
      </c>
      <c r="G303">
        <v>1</v>
      </c>
      <c r="H303" t="str">
        <f>"00000001"</f>
        <v>00000001</v>
      </c>
      <c r="I303" t="s">
        <v>35</v>
      </c>
      <c r="J303"/>
      <c r="K303">
        <v>42.37</v>
      </c>
      <c r="L303">
        <v>0.0</v>
      </c>
      <c r="M303"/>
      <c r="N303"/>
      <c r="O303">
        <v>7.63</v>
      </c>
      <c r="P303">
        <v>0.0</v>
      </c>
      <c r="Q303">
        <v>50.0</v>
      </c>
      <c r="R303"/>
      <c r="S303"/>
      <c r="T303"/>
      <c r="U303"/>
      <c r="V303"/>
      <c r="W303">
        <v>18</v>
      </c>
    </row>
    <row r="304" spans="1:23">
      <c r="A304"/>
      <c r="B304" t="s">
        <v>125</v>
      </c>
      <c r="C304" t="s">
        <v>125</v>
      </c>
      <c r="D304" t="s">
        <v>33</v>
      </c>
      <c r="E304" t="s">
        <v>34</v>
      </c>
      <c r="F304" t="str">
        <f>"0008347"</f>
        <v>0008347</v>
      </c>
      <c r="G304">
        <v>1</v>
      </c>
      <c r="H304" t="str">
        <f>"00000001"</f>
        <v>00000001</v>
      </c>
      <c r="I304" t="s">
        <v>35</v>
      </c>
      <c r="J304"/>
      <c r="K304">
        <v>72.03</v>
      </c>
      <c r="L304">
        <v>0.0</v>
      </c>
      <c r="M304"/>
      <c r="N304"/>
      <c r="O304">
        <v>12.97</v>
      </c>
      <c r="P304">
        <v>0.0</v>
      </c>
      <c r="Q304">
        <v>85.0</v>
      </c>
      <c r="R304"/>
      <c r="S304"/>
      <c r="T304"/>
      <c r="U304"/>
      <c r="V304"/>
      <c r="W304">
        <v>18</v>
      </c>
    </row>
    <row r="305" spans="1:23">
      <c r="A305"/>
      <c r="B305" t="s">
        <v>125</v>
      </c>
      <c r="C305" t="s">
        <v>125</v>
      </c>
      <c r="D305" t="s">
        <v>33</v>
      </c>
      <c r="E305" t="s">
        <v>34</v>
      </c>
      <c r="F305" t="str">
        <f>"0008348"</f>
        <v>0008348</v>
      </c>
      <c r="G305">
        <v>1</v>
      </c>
      <c r="H305" t="str">
        <f>"00000001"</f>
        <v>00000001</v>
      </c>
      <c r="I305" t="s">
        <v>35</v>
      </c>
      <c r="J305"/>
      <c r="K305">
        <v>33.9</v>
      </c>
      <c r="L305">
        <v>0.0</v>
      </c>
      <c r="M305"/>
      <c r="N305"/>
      <c r="O305">
        <v>6.1</v>
      </c>
      <c r="P305">
        <v>0.0</v>
      </c>
      <c r="Q305">
        <v>40.0</v>
      </c>
      <c r="R305"/>
      <c r="S305"/>
      <c r="T305"/>
      <c r="U305"/>
      <c r="V305"/>
      <c r="W305">
        <v>18</v>
      </c>
    </row>
    <row r="306" spans="1:23">
      <c r="A306"/>
      <c r="B306" t="s">
        <v>125</v>
      </c>
      <c r="C306" t="s">
        <v>125</v>
      </c>
      <c r="D306" t="s">
        <v>33</v>
      </c>
      <c r="E306" t="s">
        <v>34</v>
      </c>
      <c r="F306" t="str">
        <f>"0008349"</f>
        <v>0008349</v>
      </c>
      <c r="G306">
        <v>1</v>
      </c>
      <c r="H306" t="str">
        <f>"00000001"</f>
        <v>00000001</v>
      </c>
      <c r="I306" t="s">
        <v>35</v>
      </c>
      <c r="J306"/>
      <c r="K306">
        <v>50.85</v>
      </c>
      <c r="L306">
        <v>0.0</v>
      </c>
      <c r="M306"/>
      <c r="N306"/>
      <c r="O306">
        <v>9.15</v>
      </c>
      <c r="P306">
        <v>0.0</v>
      </c>
      <c r="Q306">
        <v>60.0</v>
      </c>
      <c r="R306"/>
      <c r="S306"/>
      <c r="T306"/>
      <c r="U306"/>
      <c r="V306"/>
      <c r="W306">
        <v>18</v>
      </c>
    </row>
    <row r="307" spans="1:23">
      <c r="A307"/>
      <c r="B307" t="s">
        <v>125</v>
      </c>
      <c r="C307" t="s">
        <v>125</v>
      </c>
      <c r="D307" t="s">
        <v>33</v>
      </c>
      <c r="E307" t="s">
        <v>34</v>
      </c>
      <c r="F307" t="str">
        <f>"0008350"</f>
        <v>0008350</v>
      </c>
      <c r="G307">
        <v>1</v>
      </c>
      <c r="H307" t="str">
        <f>"00000001"</f>
        <v>00000001</v>
      </c>
      <c r="I307" t="s">
        <v>35</v>
      </c>
      <c r="J307"/>
      <c r="K307">
        <v>20.34</v>
      </c>
      <c r="L307">
        <v>0.0</v>
      </c>
      <c r="M307"/>
      <c r="N307"/>
      <c r="O307">
        <v>3.66</v>
      </c>
      <c r="P307">
        <v>0.0</v>
      </c>
      <c r="Q307">
        <v>24.0</v>
      </c>
      <c r="R307"/>
      <c r="S307"/>
      <c r="T307"/>
      <c r="U307"/>
      <c r="V307"/>
      <c r="W307">
        <v>18</v>
      </c>
    </row>
    <row r="308" spans="1:23">
      <c r="A308"/>
      <c r="B308" t="s">
        <v>125</v>
      </c>
      <c r="C308" t="s">
        <v>125</v>
      </c>
      <c r="D308" t="s">
        <v>33</v>
      </c>
      <c r="E308" t="s">
        <v>34</v>
      </c>
      <c r="F308" t="str">
        <f>"0008351"</f>
        <v>0008351</v>
      </c>
      <c r="G308">
        <v>1</v>
      </c>
      <c r="H308" t="str">
        <f>"00000001"</f>
        <v>00000001</v>
      </c>
      <c r="I308" t="s">
        <v>35</v>
      </c>
      <c r="J308"/>
      <c r="K308">
        <v>45.76</v>
      </c>
      <c r="L308">
        <v>0.0</v>
      </c>
      <c r="M308"/>
      <c r="N308"/>
      <c r="O308">
        <v>8.24</v>
      </c>
      <c r="P308">
        <v>0.0</v>
      </c>
      <c r="Q308">
        <v>54.0</v>
      </c>
      <c r="R308"/>
      <c r="S308"/>
      <c r="T308"/>
      <c r="U308"/>
      <c r="V308"/>
      <c r="W308">
        <v>18</v>
      </c>
    </row>
    <row r="309" spans="1:23">
      <c r="A309"/>
      <c r="B309" t="s">
        <v>125</v>
      </c>
      <c r="C309" t="s">
        <v>125</v>
      </c>
      <c r="D309" t="s">
        <v>33</v>
      </c>
      <c r="E309" t="s">
        <v>34</v>
      </c>
      <c r="F309" t="str">
        <f>"0008352"</f>
        <v>0008352</v>
      </c>
      <c r="G309">
        <v>1</v>
      </c>
      <c r="H309" t="str">
        <f>"00000001"</f>
        <v>00000001</v>
      </c>
      <c r="I309" t="s">
        <v>35</v>
      </c>
      <c r="J309"/>
      <c r="K309">
        <v>93.22</v>
      </c>
      <c r="L309">
        <v>0.0</v>
      </c>
      <c r="M309"/>
      <c r="N309"/>
      <c r="O309">
        <v>16.78</v>
      </c>
      <c r="P309">
        <v>0.0</v>
      </c>
      <c r="Q309">
        <v>110.0</v>
      </c>
      <c r="R309"/>
      <c r="S309"/>
      <c r="T309"/>
      <c r="U309"/>
      <c r="V309"/>
      <c r="W309">
        <v>18</v>
      </c>
    </row>
    <row r="310" spans="1:23">
      <c r="A310"/>
      <c r="B310" t="s">
        <v>125</v>
      </c>
      <c r="C310" t="s">
        <v>125</v>
      </c>
      <c r="D310" t="s">
        <v>33</v>
      </c>
      <c r="E310" t="s">
        <v>34</v>
      </c>
      <c r="F310" t="str">
        <f>"0008353"</f>
        <v>0008353</v>
      </c>
      <c r="G310">
        <v>1</v>
      </c>
      <c r="H310" t="str">
        <f>"00000001"</f>
        <v>00000001</v>
      </c>
      <c r="I310" t="s">
        <v>35</v>
      </c>
      <c r="J310"/>
      <c r="K310">
        <v>52.54</v>
      </c>
      <c r="L310">
        <v>0.0</v>
      </c>
      <c r="M310"/>
      <c r="N310"/>
      <c r="O310">
        <v>9.46</v>
      </c>
      <c r="P310">
        <v>0.0</v>
      </c>
      <c r="Q310">
        <v>62.0</v>
      </c>
      <c r="R310"/>
      <c r="S310"/>
      <c r="T310"/>
      <c r="U310"/>
      <c r="V310"/>
      <c r="W310">
        <v>18</v>
      </c>
    </row>
    <row r="311" spans="1:23">
      <c r="A311"/>
      <c r="B311" t="s">
        <v>125</v>
      </c>
      <c r="C311" t="s">
        <v>125</v>
      </c>
      <c r="D311" t="s">
        <v>33</v>
      </c>
      <c r="E311" t="s">
        <v>34</v>
      </c>
      <c r="F311" t="str">
        <f>"0008354"</f>
        <v>0008354</v>
      </c>
      <c r="G311">
        <v>1</v>
      </c>
      <c r="H311" t="str">
        <f>"00000001"</f>
        <v>00000001</v>
      </c>
      <c r="I311" t="s">
        <v>35</v>
      </c>
      <c r="J311"/>
      <c r="K311">
        <v>118.58</v>
      </c>
      <c r="L311">
        <v>0.0</v>
      </c>
      <c r="M311"/>
      <c r="N311"/>
      <c r="O311">
        <v>21.34</v>
      </c>
      <c r="P311">
        <v>0.0</v>
      </c>
      <c r="Q311">
        <v>139.92</v>
      </c>
      <c r="R311"/>
      <c r="S311"/>
      <c r="T311"/>
      <c r="U311"/>
      <c r="V311"/>
      <c r="W311">
        <v>18</v>
      </c>
    </row>
    <row r="312" spans="1:23">
      <c r="A312"/>
      <c r="B312" t="s">
        <v>125</v>
      </c>
      <c r="C312" t="s">
        <v>125</v>
      </c>
      <c r="D312" t="s">
        <v>33</v>
      </c>
      <c r="E312" t="s">
        <v>34</v>
      </c>
      <c r="F312" t="str">
        <f>"0008355"</f>
        <v>0008355</v>
      </c>
      <c r="G312">
        <v>1</v>
      </c>
      <c r="H312" t="str">
        <f>"00000001"</f>
        <v>00000001</v>
      </c>
      <c r="I312" t="s">
        <v>35</v>
      </c>
      <c r="J312"/>
      <c r="K312">
        <v>42.37</v>
      </c>
      <c r="L312">
        <v>0.0</v>
      </c>
      <c r="M312"/>
      <c r="N312"/>
      <c r="O312">
        <v>7.63</v>
      </c>
      <c r="P312">
        <v>0.0</v>
      </c>
      <c r="Q312">
        <v>50.0</v>
      </c>
      <c r="R312"/>
      <c r="S312"/>
      <c r="T312"/>
      <c r="U312"/>
      <c r="V312"/>
      <c r="W312">
        <v>18</v>
      </c>
    </row>
    <row r="313" spans="1:23">
      <c r="A313"/>
      <c r="B313" t="s">
        <v>125</v>
      </c>
      <c r="C313" t="s">
        <v>125</v>
      </c>
      <c r="D313" t="s">
        <v>33</v>
      </c>
      <c r="E313" t="s">
        <v>34</v>
      </c>
      <c r="F313" t="str">
        <f>"0008356"</f>
        <v>0008356</v>
      </c>
      <c r="G313">
        <v>1</v>
      </c>
      <c r="H313" t="str">
        <f>"00000001"</f>
        <v>00000001</v>
      </c>
      <c r="I313" t="s">
        <v>35</v>
      </c>
      <c r="J313"/>
      <c r="K313">
        <v>6.78</v>
      </c>
      <c r="L313">
        <v>0.0</v>
      </c>
      <c r="M313"/>
      <c r="N313"/>
      <c r="O313">
        <v>1.22</v>
      </c>
      <c r="P313">
        <v>0.0</v>
      </c>
      <c r="Q313">
        <v>8.0</v>
      </c>
      <c r="R313"/>
      <c r="S313"/>
      <c r="T313"/>
      <c r="U313"/>
      <c r="V313"/>
      <c r="W313">
        <v>18</v>
      </c>
    </row>
    <row r="314" spans="1:23">
      <c r="A314"/>
      <c r="B314" t="s">
        <v>125</v>
      </c>
      <c r="C314" t="s">
        <v>125</v>
      </c>
      <c r="D314" t="s">
        <v>33</v>
      </c>
      <c r="E314" t="s">
        <v>34</v>
      </c>
      <c r="F314" t="str">
        <f>"0008357"</f>
        <v>0008357</v>
      </c>
      <c r="G314">
        <v>1</v>
      </c>
      <c r="H314" t="str">
        <f>"00000001"</f>
        <v>00000001</v>
      </c>
      <c r="I314" t="s">
        <v>35</v>
      </c>
      <c r="J314"/>
      <c r="K314">
        <v>23.73</v>
      </c>
      <c r="L314">
        <v>0.0</v>
      </c>
      <c r="M314"/>
      <c r="N314"/>
      <c r="O314">
        <v>4.27</v>
      </c>
      <c r="P314">
        <v>0.0</v>
      </c>
      <c r="Q314">
        <v>28.0</v>
      </c>
      <c r="R314"/>
      <c r="S314"/>
      <c r="T314"/>
      <c r="U314"/>
      <c r="V314"/>
      <c r="W314">
        <v>18</v>
      </c>
    </row>
    <row r="315" spans="1:23">
      <c r="A315"/>
      <c r="B315" t="s">
        <v>125</v>
      </c>
      <c r="C315" t="s">
        <v>125</v>
      </c>
      <c r="D315" t="s">
        <v>33</v>
      </c>
      <c r="E315" t="s">
        <v>34</v>
      </c>
      <c r="F315" t="str">
        <f>"0008358"</f>
        <v>0008358</v>
      </c>
      <c r="G315">
        <v>1</v>
      </c>
      <c r="H315" t="str">
        <f>"00000001"</f>
        <v>00000001</v>
      </c>
      <c r="I315" t="s">
        <v>35</v>
      </c>
      <c r="J315"/>
      <c r="K315">
        <v>33.9</v>
      </c>
      <c r="L315">
        <v>0.0</v>
      </c>
      <c r="M315"/>
      <c r="N315"/>
      <c r="O315">
        <v>6.1</v>
      </c>
      <c r="P315">
        <v>0.0</v>
      </c>
      <c r="Q315">
        <v>40.0</v>
      </c>
      <c r="R315"/>
      <c r="S315"/>
      <c r="T315"/>
      <c r="U315"/>
      <c r="V315"/>
      <c r="W315">
        <v>18</v>
      </c>
    </row>
    <row r="316" spans="1:23">
      <c r="A316"/>
      <c r="B316" t="s">
        <v>125</v>
      </c>
      <c r="C316" t="s">
        <v>125</v>
      </c>
      <c r="D316" t="s">
        <v>33</v>
      </c>
      <c r="E316" t="s">
        <v>34</v>
      </c>
      <c r="F316" t="str">
        <f>"0008359"</f>
        <v>0008359</v>
      </c>
      <c r="G316">
        <v>1</v>
      </c>
      <c r="H316" t="str">
        <f>"00000001"</f>
        <v>00000001</v>
      </c>
      <c r="I316" t="s">
        <v>35</v>
      </c>
      <c r="J316"/>
      <c r="K316">
        <v>135.59</v>
      </c>
      <c r="L316">
        <v>0.0</v>
      </c>
      <c r="M316"/>
      <c r="N316"/>
      <c r="O316">
        <v>24.41</v>
      </c>
      <c r="P316">
        <v>0.0</v>
      </c>
      <c r="Q316">
        <v>160.0</v>
      </c>
      <c r="R316"/>
      <c r="S316"/>
      <c r="T316"/>
      <c r="U316"/>
      <c r="V316"/>
      <c r="W316">
        <v>18</v>
      </c>
    </row>
    <row r="317" spans="1:23">
      <c r="A317"/>
      <c r="B317" t="s">
        <v>125</v>
      </c>
      <c r="C317" t="s">
        <v>125</v>
      </c>
      <c r="D317" t="s">
        <v>33</v>
      </c>
      <c r="E317" t="s">
        <v>34</v>
      </c>
      <c r="F317" t="str">
        <f>"0008360"</f>
        <v>0008360</v>
      </c>
      <c r="G317">
        <v>1</v>
      </c>
      <c r="H317" t="str">
        <f>"00000001"</f>
        <v>00000001</v>
      </c>
      <c r="I317" t="s">
        <v>35</v>
      </c>
      <c r="J317"/>
      <c r="K317">
        <v>151.69</v>
      </c>
      <c r="L317">
        <v>0.0</v>
      </c>
      <c r="M317"/>
      <c r="N317"/>
      <c r="O317">
        <v>27.31</v>
      </c>
      <c r="P317">
        <v>0.0</v>
      </c>
      <c r="Q317">
        <v>179.0</v>
      </c>
      <c r="R317"/>
      <c r="S317"/>
      <c r="T317"/>
      <c r="U317"/>
      <c r="V317"/>
      <c r="W317">
        <v>18</v>
      </c>
    </row>
    <row r="318" spans="1:23">
      <c r="A318"/>
      <c r="B318" t="s">
        <v>125</v>
      </c>
      <c r="C318" t="s">
        <v>125</v>
      </c>
      <c r="D318" t="s">
        <v>33</v>
      </c>
      <c r="E318" t="s">
        <v>34</v>
      </c>
      <c r="F318" t="str">
        <f>"0008361"</f>
        <v>0008361</v>
      </c>
      <c r="G318">
        <v>1</v>
      </c>
      <c r="H318" t="str">
        <f>"00000001"</f>
        <v>00000001</v>
      </c>
      <c r="I318" t="s">
        <v>35</v>
      </c>
      <c r="J318"/>
      <c r="K318">
        <v>77.12</v>
      </c>
      <c r="L318">
        <v>0.0</v>
      </c>
      <c r="M318"/>
      <c r="N318"/>
      <c r="O318">
        <v>13.88</v>
      </c>
      <c r="P318">
        <v>0.0</v>
      </c>
      <c r="Q318">
        <v>91.0</v>
      </c>
      <c r="R318"/>
      <c r="S318"/>
      <c r="T318"/>
      <c r="U318"/>
      <c r="V318"/>
      <c r="W318">
        <v>18</v>
      </c>
    </row>
    <row r="319" spans="1:23">
      <c r="A319"/>
      <c r="B319" t="s">
        <v>125</v>
      </c>
      <c r="C319" t="s">
        <v>125</v>
      </c>
      <c r="D319" t="s">
        <v>33</v>
      </c>
      <c r="E319" t="s">
        <v>34</v>
      </c>
      <c r="F319" t="str">
        <f>"0008362"</f>
        <v>0008362</v>
      </c>
      <c r="G319">
        <v>1</v>
      </c>
      <c r="H319" t="str">
        <f>"00000001"</f>
        <v>00000001</v>
      </c>
      <c r="I319" t="s">
        <v>35</v>
      </c>
      <c r="J319"/>
      <c r="K319">
        <v>174.58</v>
      </c>
      <c r="L319">
        <v>0.0</v>
      </c>
      <c r="M319"/>
      <c r="N319"/>
      <c r="O319">
        <v>31.42</v>
      </c>
      <c r="P319">
        <v>0.0</v>
      </c>
      <c r="Q319">
        <v>206.0</v>
      </c>
      <c r="R319"/>
      <c r="S319"/>
      <c r="T319"/>
      <c r="U319"/>
      <c r="V319"/>
      <c r="W319">
        <v>18</v>
      </c>
    </row>
    <row r="320" spans="1:23">
      <c r="A320"/>
      <c r="B320" t="s">
        <v>125</v>
      </c>
      <c r="C320" t="s">
        <v>125</v>
      </c>
      <c r="D320" t="s">
        <v>33</v>
      </c>
      <c r="E320" t="s">
        <v>34</v>
      </c>
      <c r="F320" t="str">
        <f>"0008363"</f>
        <v>0008363</v>
      </c>
      <c r="G320">
        <v>1</v>
      </c>
      <c r="H320" t="str">
        <f>"00000001"</f>
        <v>00000001</v>
      </c>
      <c r="I320" t="s">
        <v>35</v>
      </c>
      <c r="J320"/>
      <c r="K320">
        <v>71.19</v>
      </c>
      <c r="L320">
        <v>0.0</v>
      </c>
      <c r="M320"/>
      <c r="N320"/>
      <c r="O320">
        <v>12.81</v>
      </c>
      <c r="P320">
        <v>0.0</v>
      </c>
      <c r="Q320">
        <v>84.0</v>
      </c>
      <c r="R320"/>
      <c r="S320"/>
      <c r="T320"/>
      <c r="U320"/>
      <c r="V320"/>
      <c r="W320">
        <v>18</v>
      </c>
    </row>
    <row r="321" spans="1:23">
      <c r="A321"/>
      <c r="B321" t="s">
        <v>125</v>
      </c>
      <c r="C321" t="s">
        <v>125</v>
      </c>
      <c r="D321" t="s">
        <v>33</v>
      </c>
      <c r="E321" t="s">
        <v>34</v>
      </c>
      <c r="F321" t="str">
        <f>"0008364"</f>
        <v>0008364</v>
      </c>
      <c r="G321">
        <v>1</v>
      </c>
      <c r="H321" t="str">
        <f>"00000001"</f>
        <v>00000001</v>
      </c>
      <c r="I321" t="s">
        <v>35</v>
      </c>
      <c r="J321"/>
      <c r="K321">
        <v>71.19</v>
      </c>
      <c r="L321">
        <v>0.0</v>
      </c>
      <c r="M321"/>
      <c r="N321"/>
      <c r="O321">
        <v>12.81</v>
      </c>
      <c r="P321">
        <v>0.0</v>
      </c>
      <c r="Q321">
        <v>84.0</v>
      </c>
      <c r="R321"/>
      <c r="S321"/>
      <c r="T321"/>
      <c r="U321"/>
      <c r="V321"/>
      <c r="W321">
        <v>18</v>
      </c>
    </row>
    <row r="322" spans="1:23">
      <c r="A322"/>
      <c r="B322" t="s">
        <v>125</v>
      </c>
      <c r="C322" t="s">
        <v>125</v>
      </c>
      <c r="D322" t="s">
        <v>33</v>
      </c>
      <c r="E322" t="s">
        <v>34</v>
      </c>
      <c r="F322" t="str">
        <f>"0008365"</f>
        <v>0008365</v>
      </c>
      <c r="G322">
        <v>1</v>
      </c>
      <c r="H322" t="str">
        <f>"00000001"</f>
        <v>00000001</v>
      </c>
      <c r="I322" t="s">
        <v>35</v>
      </c>
      <c r="J322"/>
      <c r="K322">
        <v>62.71</v>
      </c>
      <c r="L322">
        <v>0.0</v>
      </c>
      <c r="M322"/>
      <c r="N322"/>
      <c r="O322">
        <v>11.29</v>
      </c>
      <c r="P322">
        <v>0.0</v>
      </c>
      <c r="Q322">
        <v>74.0</v>
      </c>
      <c r="R322"/>
      <c r="S322"/>
      <c r="T322"/>
      <c r="U322"/>
      <c r="V322"/>
      <c r="W322">
        <v>18</v>
      </c>
    </row>
    <row r="323" spans="1:23">
      <c r="A323"/>
      <c r="B323" t="s">
        <v>125</v>
      </c>
      <c r="C323" t="s">
        <v>125</v>
      </c>
      <c r="D323" t="s">
        <v>33</v>
      </c>
      <c r="E323" t="s">
        <v>34</v>
      </c>
      <c r="F323" t="str">
        <f>"0008366"</f>
        <v>0008366</v>
      </c>
      <c r="G323">
        <v>1</v>
      </c>
      <c r="H323" t="str">
        <f>"00000001"</f>
        <v>00000001</v>
      </c>
      <c r="I323" t="s">
        <v>35</v>
      </c>
      <c r="J323"/>
      <c r="K323">
        <v>40.68</v>
      </c>
      <c r="L323">
        <v>0.0</v>
      </c>
      <c r="M323"/>
      <c r="N323"/>
      <c r="O323">
        <v>7.32</v>
      </c>
      <c r="P323">
        <v>0.0</v>
      </c>
      <c r="Q323">
        <v>48.0</v>
      </c>
      <c r="R323"/>
      <c r="S323"/>
      <c r="T323"/>
      <c r="U323"/>
      <c r="V323"/>
      <c r="W323">
        <v>18</v>
      </c>
    </row>
    <row r="324" spans="1:23">
      <c r="A324"/>
      <c r="B324" t="s">
        <v>125</v>
      </c>
      <c r="C324" t="s">
        <v>125</v>
      </c>
      <c r="D324" t="s">
        <v>33</v>
      </c>
      <c r="E324" t="s">
        <v>34</v>
      </c>
      <c r="F324" t="str">
        <f>"0008367"</f>
        <v>0008367</v>
      </c>
      <c r="G324">
        <v>1</v>
      </c>
      <c r="H324" t="str">
        <f>"00000001"</f>
        <v>00000001</v>
      </c>
      <c r="I324" t="s">
        <v>35</v>
      </c>
      <c r="J324"/>
      <c r="K324">
        <v>152.51</v>
      </c>
      <c r="L324">
        <v>0.0</v>
      </c>
      <c r="M324"/>
      <c r="N324"/>
      <c r="O324">
        <v>27.45</v>
      </c>
      <c r="P324">
        <v>0.0</v>
      </c>
      <c r="Q324">
        <v>179.96</v>
      </c>
      <c r="R324"/>
      <c r="S324"/>
      <c r="T324"/>
      <c r="U324"/>
      <c r="V324"/>
      <c r="W324">
        <v>18</v>
      </c>
    </row>
    <row r="325" spans="1:23">
      <c r="A325"/>
      <c r="B325" t="s">
        <v>125</v>
      </c>
      <c r="C325" t="s">
        <v>125</v>
      </c>
      <c r="D325" t="s">
        <v>33</v>
      </c>
      <c r="E325" t="s">
        <v>34</v>
      </c>
      <c r="F325" t="str">
        <f>"0008368"</f>
        <v>0008368</v>
      </c>
      <c r="G325">
        <v>1</v>
      </c>
      <c r="H325" t="str">
        <f>"00000001"</f>
        <v>00000001</v>
      </c>
      <c r="I325" t="s">
        <v>35</v>
      </c>
      <c r="J325"/>
      <c r="K325">
        <v>48.31</v>
      </c>
      <c r="L325">
        <v>0.0</v>
      </c>
      <c r="M325"/>
      <c r="N325"/>
      <c r="O325">
        <v>8.69</v>
      </c>
      <c r="P325">
        <v>0.0</v>
      </c>
      <c r="Q325">
        <v>57.0</v>
      </c>
      <c r="R325"/>
      <c r="S325"/>
      <c r="T325"/>
      <c r="U325"/>
      <c r="V325"/>
      <c r="W325">
        <v>18</v>
      </c>
    </row>
    <row r="326" spans="1:23">
      <c r="A326"/>
      <c r="B326" t="s">
        <v>125</v>
      </c>
      <c r="C326" t="s">
        <v>125</v>
      </c>
      <c r="D326" t="s">
        <v>33</v>
      </c>
      <c r="E326" t="s">
        <v>34</v>
      </c>
      <c r="F326" t="str">
        <f>"0008369"</f>
        <v>0008369</v>
      </c>
      <c r="G326">
        <v>1</v>
      </c>
      <c r="H326" t="str">
        <f>"00000001"</f>
        <v>00000001</v>
      </c>
      <c r="I326" t="s">
        <v>35</v>
      </c>
      <c r="J326"/>
      <c r="K326">
        <v>55.08</v>
      </c>
      <c r="L326">
        <v>0.0</v>
      </c>
      <c r="M326"/>
      <c r="N326"/>
      <c r="O326">
        <v>9.92</v>
      </c>
      <c r="P326">
        <v>0.0</v>
      </c>
      <c r="Q326">
        <v>65.0</v>
      </c>
      <c r="R326"/>
      <c r="S326"/>
      <c r="T326"/>
      <c r="U326"/>
      <c r="V326"/>
      <c r="W326">
        <v>18</v>
      </c>
    </row>
    <row r="327" spans="1:23">
      <c r="A327"/>
      <c r="B327" t="s">
        <v>125</v>
      </c>
      <c r="C327" t="s">
        <v>125</v>
      </c>
      <c r="D327" t="s">
        <v>33</v>
      </c>
      <c r="E327" t="s">
        <v>34</v>
      </c>
      <c r="F327" t="str">
        <f>"0008370"</f>
        <v>0008370</v>
      </c>
      <c r="G327">
        <v>1</v>
      </c>
      <c r="H327" t="str">
        <f>"00000001"</f>
        <v>00000001</v>
      </c>
      <c r="I327" t="s">
        <v>35</v>
      </c>
      <c r="J327"/>
      <c r="K327">
        <v>42.37</v>
      </c>
      <c r="L327">
        <v>0.0</v>
      </c>
      <c r="M327"/>
      <c r="N327"/>
      <c r="O327">
        <v>7.63</v>
      </c>
      <c r="P327">
        <v>0.0</v>
      </c>
      <c r="Q327">
        <v>50.0</v>
      </c>
      <c r="R327"/>
      <c r="S327"/>
      <c r="T327"/>
      <c r="U327"/>
      <c r="V327"/>
      <c r="W327">
        <v>18</v>
      </c>
    </row>
    <row r="328" spans="1:23">
      <c r="A328"/>
      <c r="B328" t="s">
        <v>125</v>
      </c>
      <c r="C328" t="s">
        <v>125</v>
      </c>
      <c r="D328" t="s">
        <v>33</v>
      </c>
      <c r="E328" t="s">
        <v>34</v>
      </c>
      <c r="F328" t="str">
        <f>"0008371"</f>
        <v>0008371</v>
      </c>
      <c r="G328">
        <v>1</v>
      </c>
      <c r="H328" t="str">
        <f>"00000001"</f>
        <v>00000001</v>
      </c>
      <c r="I328" t="s">
        <v>35</v>
      </c>
      <c r="J328"/>
      <c r="K328">
        <v>15.25</v>
      </c>
      <c r="L328">
        <v>0.0</v>
      </c>
      <c r="M328"/>
      <c r="N328"/>
      <c r="O328">
        <v>2.75</v>
      </c>
      <c r="P328">
        <v>0.0</v>
      </c>
      <c r="Q328">
        <v>18.0</v>
      </c>
      <c r="R328"/>
      <c r="S328"/>
      <c r="T328"/>
      <c r="U328"/>
      <c r="V328"/>
      <c r="W328">
        <v>18</v>
      </c>
    </row>
    <row r="329" spans="1:23">
      <c r="A329"/>
      <c r="B329" t="s">
        <v>125</v>
      </c>
      <c r="C329" t="s">
        <v>125</v>
      </c>
      <c r="D329" t="s">
        <v>33</v>
      </c>
      <c r="E329" t="s">
        <v>34</v>
      </c>
      <c r="F329" t="str">
        <f>"0008372"</f>
        <v>0008372</v>
      </c>
      <c r="G329">
        <v>1</v>
      </c>
      <c r="H329" t="str">
        <f>"00000001"</f>
        <v>00000001</v>
      </c>
      <c r="I329" t="s">
        <v>35</v>
      </c>
      <c r="J329"/>
      <c r="K329">
        <v>33.9</v>
      </c>
      <c r="L329">
        <v>0.0</v>
      </c>
      <c r="M329"/>
      <c r="N329"/>
      <c r="O329">
        <v>6.1</v>
      </c>
      <c r="P329">
        <v>0.0</v>
      </c>
      <c r="Q329">
        <v>40.0</v>
      </c>
      <c r="R329"/>
      <c r="S329"/>
      <c r="T329"/>
      <c r="U329"/>
      <c r="V329"/>
      <c r="W329">
        <v>18</v>
      </c>
    </row>
    <row r="330" spans="1:23">
      <c r="A330"/>
      <c r="B330" t="s">
        <v>125</v>
      </c>
      <c r="C330" t="s">
        <v>125</v>
      </c>
      <c r="D330" t="s">
        <v>33</v>
      </c>
      <c r="E330" t="s">
        <v>34</v>
      </c>
      <c r="F330" t="str">
        <f>"0008373"</f>
        <v>0008373</v>
      </c>
      <c r="G330">
        <v>1</v>
      </c>
      <c r="H330" t="str">
        <f>"00000001"</f>
        <v>00000001</v>
      </c>
      <c r="I330" t="s">
        <v>35</v>
      </c>
      <c r="J330"/>
      <c r="K330">
        <v>67.37</v>
      </c>
      <c r="L330">
        <v>0.0</v>
      </c>
      <c r="M330"/>
      <c r="N330"/>
      <c r="O330">
        <v>12.13</v>
      </c>
      <c r="P330">
        <v>0.0</v>
      </c>
      <c r="Q330">
        <v>79.5</v>
      </c>
      <c r="R330"/>
      <c r="S330"/>
      <c r="T330"/>
      <c r="U330"/>
      <c r="V330"/>
      <c r="W330">
        <v>18</v>
      </c>
    </row>
    <row r="331" spans="1:23">
      <c r="A331"/>
      <c r="B331" t="s">
        <v>125</v>
      </c>
      <c r="C331" t="s">
        <v>125</v>
      </c>
      <c r="D331" t="s">
        <v>33</v>
      </c>
      <c r="E331" t="s">
        <v>34</v>
      </c>
      <c r="F331" t="str">
        <f>"0008374"</f>
        <v>0008374</v>
      </c>
      <c r="G331">
        <v>1</v>
      </c>
      <c r="H331" t="str">
        <f>"00000001"</f>
        <v>00000001</v>
      </c>
      <c r="I331" t="s">
        <v>35</v>
      </c>
      <c r="J331"/>
      <c r="K331">
        <v>50.85</v>
      </c>
      <c r="L331">
        <v>0.0</v>
      </c>
      <c r="M331"/>
      <c r="N331"/>
      <c r="O331">
        <v>9.15</v>
      </c>
      <c r="P331">
        <v>0.0</v>
      </c>
      <c r="Q331">
        <v>60.0</v>
      </c>
      <c r="R331"/>
      <c r="S331"/>
      <c r="T331"/>
      <c r="U331"/>
      <c r="V331"/>
      <c r="W331">
        <v>18</v>
      </c>
    </row>
    <row r="332" spans="1:23">
      <c r="A332"/>
      <c r="B332" t="s">
        <v>125</v>
      </c>
      <c r="C332" t="s">
        <v>125</v>
      </c>
      <c r="D332" t="s">
        <v>33</v>
      </c>
      <c r="E332" t="s">
        <v>34</v>
      </c>
      <c r="F332" t="str">
        <f>"0008375"</f>
        <v>0008375</v>
      </c>
      <c r="G332">
        <v>1</v>
      </c>
      <c r="H332" t="str">
        <f>"00000001"</f>
        <v>00000001</v>
      </c>
      <c r="I332" t="s">
        <v>35</v>
      </c>
      <c r="J332"/>
      <c r="K332">
        <v>62.71</v>
      </c>
      <c r="L332">
        <v>0.0</v>
      </c>
      <c r="M332"/>
      <c r="N332"/>
      <c r="O332">
        <v>11.29</v>
      </c>
      <c r="P332">
        <v>0.0</v>
      </c>
      <c r="Q332">
        <v>74.0</v>
      </c>
      <c r="R332"/>
      <c r="S332"/>
      <c r="T332"/>
      <c r="U332"/>
      <c r="V332"/>
      <c r="W332">
        <v>18</v>
      </c>
    </row>
    <row r="333" spans="1:23">
      <c r="A333"/>
      <c r="B333" t="s">
        <v>125</v>
      </c>
      <c r="C333" t="s">
        <v>125</v>
      </c>
      <c r="D333" t="s">
        <v>33</v>
      </c>
      <c r="E333" t="s">
        <v>34</v>
      </c>
      <c r="F333" t="str">
        <f>"0008376"</f>
        <v>0008376</v>
      </c>
      <c r="G333">
        <v>1</v>
      </c>
      <c r="H333" t="str">
        <f>"00000001"</f>
        <v>00000001</v>
      </c>
      <c r="I333" t="s">
        <v>35</v>
      </c>
      <c r="J333"/>
      <c r="K333">
        <v>105.08</v>
      </c>
      <c r="L333">
        <v>0.0</v>
      </c>
      <c r="M333"/>
      <c r="N333"/>
      <c r="O333">
        <v>18.92</v>
      </c>
      <c r="P333">
        <v>0.0</v>
      </c>
      <c r="Q333">
        <v>124.0</v>
      </c>
      <c r="R333"/>
      <c r="S333"/>
      <c r="T333"/>
      <c r="U333"/>
      <c r="V333"/>
      <c r="W333">
        <v>18</v>
      </c>
    </row>
    <row r="334" spans="1:23">
      <c r="A334"/>
      <c r="B334" t="s">
        <v>125</v>
      </c>
      <c r="C334" t="s">
        <v>125</v>
      </c>
      <c r="D334" t="s">
        <v>33</v>
      </c>
      <c r="E334" t="s">
        <v>34</v>
      </c>
      <c r="F334" t="str">
        <f>"0008377"</f>
        <v>0008377</v>
      </c>
      <c r="G334">
        <v>1</v>
      </c>
      <c r="H334" t="str">
        <f>"00000001"</f>
        <v>00000001</v>
      </c>
      <c r="I334" t="s">
        <v>35</v>
      </c>
      <c r="J334"/>
      <c r="K334">
        <v>29.66</v>
      </c>
      <c r="L334">
        <v>0.0</v>
      </c>
      <c r="M334"/>
      <c r="N334"/>
      <c r="O334">
        <v>5.34</v>
      </c>
      <c r="P334">
        <v>0.0</v>
      </c>
      <c r="Q334">
        <v>35.0</v>
      </c>
      <c r="R334"/>
      <c r="S334"/>
      <c r="T334"/>
      <c r="U334"/>
      <c r="V334"/>
      <c r="W334">
        <v>18</v>
      </c>
    </row>
    <row r="335" spans="1:23">
      <c r="A335"/>
      <c r="B335" t="s">
        <v>125</v>
      </c>
      <c r="C335" t="s">
        <v>125</v>
      </c>
      <c r="D335" t="s">
        <v>33</v>
      </c>
      <c r="E335" t="s">
        <v>34</v>
      </c>
      <c r="F335" t="str">
        <f>"0008378"</f>
        <v>0008378</v>
      </c>
      <c r="G335">
        <v>1</v>
      </c>
      <c r="H335" t="str">
        <f>"00000001"</f>
        <v>00000001</v>
      </c>
      <c r="I335" t="s">
        <v>35</v>
      </c>
      <c r="J335"/>
      <c r="K335">
        <v>63.56</v>
      </c>
      <c r="L335">
        <v>0.0</v>
      </c>
      <c r="M335"/>
      <c r="N335"/>
      <c r="O335">
        <v>11.44</v>
      </c>
      <c r="P335">
        <v>0.0</v>
      </c>
      <c r="Q335">
        <v>75.0</v>
      </c>
      <c r="R335"/>
      <c r="S335"/>
      <c r="T335"/>
      <c r="U335"/>
      <c r="V335"/>
      <c r="W335">
        <v>18</v>
      </c>
    </row>
    <row r="336" spans="1:23">
      <c r="A336"/>
      <c r="B336" t="s">
        <v>125</v>
      </c>
      <c r="C336" t="s">
        <v>125</v>
      </c>
      <c r="D336" t="s">
        <v>33</v>
      </c>
      <c r="E336" t="s">
        <v>34</v>
      </c>
      <c r="F336" t="str">
        <f>"0008379"</f>
        <v>0008379</v>
      </c>
      <c r="G336">
        <v>1</v>
      </c>
      <c r="H336" t="str">
        <f>"00000001"</f>
        <v>00000001</v>
      </c>
      <c r="I336" t="s">
        <v>35</v>
      </c>
      <c r="J336"/>
      <c r="K336">
        <v>12.71</v>
      </c>
      <c r="L336">
        <v>0.0</v>
      </c>
      <c r="M336"/>
      <c r="N336"/>
      <c r="O336">
        <v>2.29</v>
      </c>
      <c r="P336">
        <v>0.0</v>
      </c>
      <c r="Q336">
        <v>15.0</v>
      </c>
      <c r="R336"/>
      <c r="S336"/>
      <c r="T336"/>
      <c r="U336"/>
      <c r="V336"/>
      <c r="W336">
        <v>18</v>
      </c>
    </row>
    <row r="337" spans="1:23">
      <c r="A337"/>
      <c r="B337" t="s">
        <v>125</v>
      </c>
      <c r="C337" t="s">
        <v>125</v>
      </c>
      <c r="D337" t="s">
        <v>33</v>
      </c>
      <c r="E337" t="s">
        <v>34</v>
      </c>
      <c r="F337" t="str">
        <f>"0008380"</f>
        <v>0008380</v>
      </c>
      <c r="G337">
        <v>1</v>
      </c>
      <c r="H337" t="str">
        <f>"00000001"</f>
        <v>00000001</v>
      </c>
      <c r="I337" t="s">
        <v>35</v>
      </c>
      <c r="J337"/>
      <c r="K337">
        <v>16.95</v>
      </c>
      <c r="L337">
        <v>0.0</v>
      </c>
      <c r="M337"/>
      <c r="N337"/>
      <c r="O337">
        <v>3.05</v>
      </c>
      <c r="P337">
        <v>0.0</v>
      </c>
      <c r="Q337">
        <v>20.0</v>
      </c>
      <c r="R337"/>
      <c r="S337"/>
      <c r="T337"/>
      <c r="U337"/>
      <c r="V337"/>
      <c r="W337">
        <v>18</v>
      </c>
    </row>
    <row r="338" spans="1:23">
      <c r="A338"/>
      <c r="B338" t="s">
        <v>125</v>
      </c>
      <c r="C338" t="s">
        <v>125</v>
      </c>
      <c r="D338" t="s">
        <v>33</v>
      </c>
      <c r="E338" t="s">
        <v>34</v>
      </c>
      <c r="F338" t="str">
        <f>"0008381"</f>
        <v>0008381</v>
      </c>
      <c r="G338">
        <v>1</v>
      </c>
      <c r="H338" t="str">
        <f>"00000001"</f>
        <v>00000001</v>
      </c>
      <c r="I338" t="s">
        <v>35</v>
      </c>
      <c r="J338"/>
      <c r="K338">
        <v>23.73</v>
      </c>
      <c r="L338">
        <v>0.0</v>
      </c>
      <c r="M338"/>
      <c r="N338"/>
      <c r="O338">
        <v>4.27</v>
      </c>
      <c r="P338">
        <v>0.0</v>
      </c>
      <c r="Q338">
        <v>28.0</v>
      </c>
      <c r="R338"/>
      <c r="S338"/>
      <c r="T338"/>
      <c r="U338"/>
      <c r="V338"/>
      <c r="W338">
        <v>18</v>
      </c>
    </row>
    <row r="339" spans="1:23">
      <c r="A339"/>
      <c r="B339" t="s">
        <v>125</v>
      </c>
      <c r="C339" t="s">
        <v>125</v>
      </c>
      <c r="D339" t="s">
        <v>33</v>
      </c>
      <c r="E339" t="s">
        <v>34</v>
      </c>
      <c r="F339" t="str">
        <f>"0008382"</f>
        <v>0008382</v>
      </c>
      <c r="G339">
        <v>1</v>
      </c>
      <c r="H339" t="str">
        <f>"00000001"</f>
        <v>00000001</v>
      </c>
      <c r="I339" t="s">
        <v>35</v>
      </c>
      <c r="J339"/>
      <c r="K339">
        <v>72.46</v>
      </c>
      <c r="L339">
        <v>0.0</v>
      </c>
      <c r="M339"/>
      <c r="N339"/>
      <c r="O339">
        <v>13.04</v>
      </c>
      <c r="P339">
        <v>0.0</v>
      </c>
      <c r="Q339">
        <v>85.5</v>
      </c>
      <c r="R339"/>
      <c r="S339"/>
      <c r="T339"/>
      <c r="U339"/>
      <c r="V339"/>
      <c r="W339">
        <v>18</v>
      </c>
    </row>
    <row r="340" spans="1:23">
      <c r="A340"/>
      <c r="B340" t="s">
        <v>125</v>
      </c>
      <c r="C340" t="s">
        <v>125</v>
      </c>
      <c r="D340" t="s">
        <v>33</v>
      </c>
      <c r="E340" t="s">
        <v>34</v>
      </c>
      <c r="F340" t="str">
        <f>"0008383"</f>
        <v>0008383</v>
      </c>
      <c r="G340">
        <v>1</v>
      </c>
      <c r="H340" t="str">
        <f>"00000001"</f>
        <v>00000001</v>
      </c>
      <c r="I340" t="s">
        <v>35</v>
      </c>
      <c r="J340"/>
      <c r="K340">
        <v>96.61</v>
      </c>
      <c r="L340">
        <v>0.0</v>
      </c>
      <c r="M340"/>
      <c r="N340"/>
      <c r="O340">
        <v>17.39</v>
      </c>
      <c r="P340">
        <v>0.0</v>
      </c>
      <c r="Q340">
        <v>114.0</v>
      </c>
      <c r="R340"/>
      <c r="S340"/>
      <c r="T340"/>
      <c r="U340"/>
      <c r="V340"/>
      <c r="W340">
        <v>18</v>
      </c>
    </row>
    <row r="341" spans="1:23">
      <c r="A341"/>
      <c r="B341" t="s">
        <v>125</v>
      </c>
      <c r="C341" t="s">
        <v>125</v>
      </c>
      <c r="D341" t="s">
        <v>33</v>
      </c>
      <c r="E341" t="s">
        <v>34</v>
      </c>
      <c r="F341" t="str">
        <f>"0008384"</f>
        <v>0008384</v>
      </c>
      <c r="G341">
        <v>1</v>
      </c>
      <c r="H341" t="str">
        <f>"00000001"</f>
        <v>00000001</v>
      </c>
      <c r="I341" t="s">
        <v>35</v>
      </c>
      <c r="J341"/>
      <c r="K341">
        <v>46.61</v>
      </c>
      <c r="L341">
        <v>0.0</v>
      </c>
      <c r="M341"/>
      <c r="N341"/>
      <c r="O341">
        <v>8.39</v>
      </c>
      <c r="P341">
        <v>0.0</v>
      </c>
      <c r="Q341">
        <v>55.0</v>
      </c>
      <c r="R341"/>
      <c r="S341"/>
      <c r="T341"/>
      <c r="U341"/>
      <c r="V341"/>
      <c r="W341">
        <v>18</v>
      </c>
    </row>
    <row r="342" spans="1:23">
      <c r="A342"/>
      <c r="B342" t="s">
        <v>125</v>
      </c>
      <c r="C342" t="s">
        <v>125</v>
      </c>
      <c r="D342" t="s">
        <v>33</v>
      </c>
      <c r="E342" t="s">
        <v>34</v>
      </c>
      <c r="F342" t="str">
        <f>"0008385"</f>
        <v>0008385</v>
      </c>
      <c r="G342">
        <v>1</v>
      </c>
      <c r="H342" t="str">
        <f>"00000001"</f>
        <v>00000001</v>
      </c>
      <c r="I342" t="s">
        <v>35</v>
      </c>
      <c r="J342"/>
      <c r="K342">
        <v>50.85</v>
      </c>
      <c r="L342">
        <v>0.0</v>
      </c>
      <c r="M342"/>
      <c r="N342"/>
      <c r="O342">
        <v>9.15</v>
      </c>
      <c r="P342">
        <v>0.0</v>
      </c>
      <c r="Q342">
        <v>60.0</v>
      </c>
      <c r="R342"/>
      <c r="S342"/>
      <c r="T342"/>
      <c r="U342"/>
      <c r="V342"/>
      <c r="W342">
        <v>18</v>
      </c>
    </row>
    <row r="343" spans="1:23">
      <c r="A343"/>
      <c r="B343" t="s">
        <v>125</v>
      </c>
      <c r="C343" t="s">
        <v>125</v>
      </c>
      <c r="D343" t="s">
        <v>33</v>
      </c>
      <c r="E343" t="s">
        <v>34</v>
      </c>
      <c r="F343" t="str">
        <f>"0008386"</f>
        <v>0008386</v>
      </c>
      <c r="G343">
        <v>1</v>
      </c>
      <c r="H343" t="str">
        <f>"00000001"</f>
        <v>00000001</v>
      </c>
      <c r="I343" t="s">
        <v>35</v>
      </c>
      <c r="J343"/>
      <c r="K343">
        <v>84.75</v>
      </c>
      <c r="L343">
        <v>0.0</v>
      </c>
      <c r="M343"/>
      <c r="N343"/>
      <c r="O343">
        <v>15.25</v>
      </c>
      <c r="P343">
        <v>0.0</v>
      </c>
      <c r="Q343">
        <v>100.0</v>
      </c>
      <c r="R343"/>
      <c r="S343"/>
      <c r="T343"/>
      <c r="U343"/>
      <c r="V343"/>
      <c r="W343">
        <v>18</v>
      </c>
    </row>
    <row r="344" spans="1:23">
      <c r="A344"/>
      <c r="B344" t="s">
        <v>125</v>
      </c>
      <c r="C344" t="s">
        <v>125</v>
      </c>
      <c r="D344" t="s">
        <v>33</v>
      </c>
      <c r="E344" t="s">
        <v>34</v>
      </c>
      <c r="F344" t="str">
        <f>"0008387"</f>
        <v>0008387</v>
      </c>
      <c r="G344">
        <v>1</v>
      </c>
      <c r="H344" t="str">
        <f>"00000001"</f>
        <v>00000001</v>
      </c>
      <c r="I344" t="s">
        <v>35</v>
      </c>
      <c r="J344"/>
      <c r="K344">
        <v>35.59</v>
      </c>
      <c r="L344">
        <v>0.0</v>
      </c>
      <c r="M344"/>
      <c r="N344"/>
      <c r="O344">
        <v>6.41</v>
      </c>
      <c r="P344">
        <v>0.0</v>
      </c>
      <c r="Q344">
        <v>42.0</v>
      </c>
      <c r="R344"/>
      <c r="S344"/>
      <c r="T344"/>
      <c r="U344"/>
      <c r="V344"/>
      <c r="W344">
        <v>18</v>
      </c>
    </row>
    <row r="345" spans="1:23">
      <c r="A345"/>
      <c r="B345" t="s">
        <v>125</v>
      </c>
      <c r="C345" t="s">
        <v>125</v>
      </c>
      <c r="D345" t="s">
        <v>33</v>
      </c>
      <c r="E345" t="s">
        <v>34</v>
      </c>
      <c r="F345" t="str">
        <f>"0008388"</f>
        <v>0008388</v>
      </c>
      <c r="G345">
        <v>1</v>
      </c>
      <c r="H345" t="str">
        <f>"00000001"</f>
        <v>00000001</v>
      </c>
      <c r="I345" t="s">
        <v>35</v>
      </c>
      <c r="J345"/>
      <c r="K345">
        <v>44.07</v>
      </c>
      <c r="L345">
        <v>0.0</v>
      </c>
      <c r="M345"/>
      <c r="N345"/>
      <c r="O345">
        <v>7.93</v>
      </c>
      <c r="P345">
        <v>0.0</v>
      </c>
      <c r="Q345">
        <v>52.0</v>
      </c>
      <c r="R345"/>
      <c r="S345"/>
      <c r="T345"/>
      <c r="U345"/>
      <c r="V345"/>
      <c r="W345">
        <v>18</v>
      </c>
    </row>
    <row r="346" spans="1:23">
      <c r="A346"/>
      <c r="B346" t="s">
        <v>129</v>
      </c>
      <c r="C346" t="s">
        <v>129</v>
      </c>
      <c r="D346" t="s">
        <v>33</v>
      </c>
      <c r="E346" t="s">
        <v>34</v>
      </c>
      <c r="F346" t="str">
        <f>"0008389"</f>
        <v>0008389</v>
      </c>
      <c r="G346">
        <v>1</v>
      </c>
      <c r="H346" t="str">
        <f>"48020875"</f>
        <v>48020875</v>
      </c>
      <c r="I346" t="s">
        <v>130</v>
      </c>
      <c r="J346"/>
      <c r="K346">
        <v>14.41</v>
      </c>
      <c r="L346">
        <v>0.0</v>
      </c>
      <c r="M346"/>
      <c r="N346"/>
      <c r="O346">
        <v>2.59</v>
      </c>
      <c r="P346">
        <v>0.0</v>
      </c>
      <c r="Q346">
        <v>17.0</v>
      </c>
      <c r="R346"/>
      <c r="S346"/>
      <c r="T346"/>
      <c r="U346"/>
      <c r="V346"/>
      <c r="W346">
        <v>18</v>
      </c>
    </row>
    <row r="347" spans="1:23">
      <c r="A347"/>
      <c r="B347" t="s">
        <v>129</v>
      </c>
      <c r="C347" t="s">
        <v>129</v>
      </c>
      <c r="D347" t="s">
        <v>33</v>
      </c>
      <c r="E347" t="s">
        <v>34</v>
      </c>
      <c r="F347" t="str">
        <f>"0008390"</f>
        <v>0008390</v>
      </c>
      <c r="G347">
        <v>1</v>
      </c>
      <c r="H347" t="str">
        <f>"00000001"</f>
        <v>00000001</v>
      </c>
      <c r="I347" t="s">
        <v>35</v>
      </c>
      <c r="J347"/>
      <c r="K347">
        <v>127.12</v>
      </c>
      <c r="L347">
        <v>0.0</v>
      </c>
      <c r="M347"/>
      <c r="N347"/>
      <c r="O347">
        <v>22.88</v>
      </c>
      <c r="P347">
        <v>0.0</v>
      </c>
      <c r="Q347">
        <v>150.0</v>
      </c>
      <c r="R347"/>
      <c r="S347"/>
      <c r="T347"/>
      <c r="U347"/>
      <c r="V347"/>
      <c r="W347">
        <v>18</v>
      </c>
    </row>
    <row r="348" spans="1:23">
      <c r="A348"/>
      <c r="B348" t="s">
        <v>129</v>
      </c>
      <c r="C348" t="s">
        <v>129</v>
      </c>
      <c r="D348" t="s">
        <v>33</v>
      </c>
      <c r="E348" t="s">
        <v>34</v>
      </c>
      <c r="F348" t="str">
        <f>"0008391"</f>
        <v>0008391</v>
      </c>
      <c r="G348">
        <v>1</v>
      </c>
      <c r="H348" t="str">
        <f>"00000001"</f>
        <v>00000001</v>
      </c>
      <c r="I348" t="s">
        <v>35</v>
      </c>
      <c r="J348"/>
      <c r="K348">
        <v>330.51</v>
      </c>
      <c r="L348">
        <v>0.0</v>
      </c>
      <c r="M348"/>
      <c r="N348"/>
      <c r="O348">
        <v>59.49</v>
      </c>
      <c r="P348">
        <v>0.0</v>
      </c>
      <c r="Q348">
        <v>390.0</v>
      </c>
      <c r="R348"/>
      <c r="S348"/>
      <c r="T348"/>
      <c r="U348"/>
      <c r="V348"/>
      <c r="W348">
        <v>18</v>
      </c>
    </row>
    <row r="349" spans="1:23">
      <c r="A349"/>
      <c r="B349" t="s">
        <v>129</v>
      </c>
      <c r="C349" t="s">
        <v>129</v>
      </c>
      <c r="D349" t="s">
        <v>33</v>
      </c>
      <c r="E349" t="s">
        <v>34</v>
      </c>
      <c r="F349" t="str">
        <f>"0008392"</f>
        <v>0008392</v>
      </c>
      <c r="G349">
        <v>1</v>
      </c>
      <c r="H349" t="str">
        <f>"00000001"</f>
        <v>00000001</v>
      </c>
      <c r="I349" t="s">
        <v>35</v>
      </c>
      <c r="J349"/>
      <c r="K349">
        <v>85.58</v>
      </c>
      <c r="L349">
        <v>0.0</v>
      </c>
      <c r="M349"/>
      <c r="N349"/>
      <c r="O349">
        <v>15.4</v>
      </c>
      <c r="P349">
        <v>0.0</v>
      </c>
      <c r="Q349">
        <v>100.98</v>
      </c>
      <c r="R349"/>
      <c r="S349"/>
      <c r="T349"/>
      <c r="U349"/>
      <c r="V349"/>
      <c r="W349">
        <v>18</v>
      </c>
    </row>
    <row r="350" spans="1:23">
      <c r="A350"/>
      <c r="B350" t="s">
        <v>129</v>
      </c>
      <c r="C350" t="s">
        <v>129</v>
      </c>
      <c r="D350" t="s">
        <v>33</v>
      </c>
      <c r="E350" t="s">
        <v>34</v>
      </c>
      <c r="F350" t="str">
        <f>"0008393"</f>
        <v>0008393</v>
      </c>
      <c r="G350">
        <v>1</v>
      </c>
      <c r="H350" t="str">
        <f>"00000001"</f>
        <v>00000001</v>
      </c>
      <c r="I350" t="s">
        <v>35</v>
      </c>
      <c r="J350"/>
      <c r="K350">
        <v>72.03</v>
      </c>
      <c r="L350">
        <v>0.0</v>
      </c>
      <c r="M350"/>
      <c r="N350"/>
      <c r="O350">
        <v>12.97</v>
      </c>
      <c r="P350">
        <v>0.0</v>
      </c>
      <c r="Q350">
        <v>85.0</v>
      </c>
      <c r="R350"/>
      <c r="S350"/>
      <c r="T350"/>
      <c r="U350"/>
      <c r="V350"/>
      <c r="W350">
        <v>18</v>
      </c>
    </row>
    <row r="351" spans="1:23">
      <c r="A351"/>
      <c r="B351" t="s">
        <v>129</v>
      </c>
      <c r="C351" t="s">
        <v>129</v>
      </c>
      <c r="D351" t="s">
        <v>33</v>
      </c>
      <c r="E351" t="s">
        <v>34</v>
      </c>
      <c r="F351" t="str">
        <f>"0008394"</f>
        <v>0008394</v>
      </c>
      <c r="G351">
        <v>1</v>
      </c>
      <c r="H351" t="str">
        <f>"00000001"</f>
        <v>00000001</v>
      </c>
      <c r="I351" t="s">
        <v>35</v>
      </c>
      <c r="J351"/>
      <c r="K351">
        <v>145.76</v>
      </c>
      <c r="L351">
        <v>0.0</v>
      </c>
      <c r="M351"/>
      <c r="N351"/>
      <c r="O351">
        <v>26.24</v>
      </c>
      <c r="P351">
        <v>0.0</v>
      </c>
      <c r="Q351">
        <v>172.0</v>
      </c>
      <c r="R351"/>
      <c r="S351"/>
      <c r="T351"/>
      <c r="U351"/>
      <c r="V351"/>
      <c r="W351">
        <v>18</v>
      </c>
    </row>
    <row r="352" spans="1:23">
      <c r="A352"/>
      <c r="B352" t="s">
        <v>129</v>
      </c>
      <c r="C352" t="s">
        <v>129</v>
      </c>
      <c r="D352" t="s">
        <v>33</v>
      </c>
      <c r="E352" t="s">
        <v>34</v>
      </c>
      <c r="F352" t="str">
        <f>"0008395"</f>
        <v>0008395</v>
      </c>
      <c r="G352">
        <v>1</v>
      </c>
      <c r="H352" t="str">
        <f>"00000001"</f>
        <v>00000001</v>
      </c>
      <c r="I352" t="s">
        <v>35</v>
      </c>
      <c r="J352"/>
      <c r="K352">
        <v>47.46</v>
      </c>
      <c r="L352">
        <v>0.0</v>
      </c>
      <c r="M352"/>
      <c r="N352"/>
      <c r="O352">
        <v>8.54</v>
      </c>
      <c r="P352">
        <v>0.0</v>
      </c>
      <c r="Q352">
        <v>56.0</v>
      </c>
      <c r="R352"/>
      <c r="S352"/>
      <c r="T352"/>
      <c r="U352"/>
      <c r="V352"/>
      <c r="W352">
        <v>18</v>
      </c>
    </row>
    <row r="353" spans="1:23">
      <c r="A353"/>
      <c r="B353" t="s">
        <v>129</v>
      </c>
      <c r="C353" t="s">
        <v>129</v>
      </c>
      <c r="D353" t="s">
        <v>33</v>
      </c>
      <c r="E353" t="s">
        <v>34</v>
      </c>
      <c r="F353" t="str">
        <f>"0008396"</f>
        <v>0008396</v>
      </c>
      <c r="G353">
        <v>1</v>
      </c>
      <c r="H353" t="str">
        <f>"00000001"</f>
        <v>00000001</v>
      </c>
      <c r="I353" t="s">
        <v>35</v>
      </c>
      <c r="J353"/>
      <c r="K353">
        <v>188.14</v>
      </c>
      <c r="L353">
        <v>0.0</v>
      </c>
      <c r="M353"/>
      <c r="N353"/>
      <c r="O353">
        <v>33.86</v>
      </c>
      <c r="P353">
        <v>0.0</v>
      </c>
      <c r="Q353">
        <v>222.0</v>
      </c>
      <c r="R353"/>
      <c r="S353"/>
      <c r="T353"/>
      <c r="U353"/>
      <c r="V353"/>
      <c r="W353">
        <v>18</v>
      </c>
    </row>
    <row r="354" spans="1:23">
      <c r="A354"/>
      <c r="B354" t="s">
        <v>129</v>
      </c>
      <c r="C354" t="s">
        <v>129</v>
      </c>
      <c r="D354" t="s">
        <v>33</v>
      </c>
      <c r="E354" t="s">
        <v>34</v>
      </c>
      <c r="F354" t="str">
        <f>"0008397"</f>
        <v>0008397</v>
      </c>
      <c r="G354">
        <v>1</v>
      </c>
      <c r="H354" t="str">
        <f>"00000001"</f>
        <v>00000001</v>
      </c>
      <c r="I354" t="s">
        <v>35</v>
      </c>
      <c r="J354"/>
      <c r="K354">
        <v>174.58</v>
      </c>
      <c r="L354">
        <v>0.0</v>
      </c>
      <c r="M354"/>
      <c r="N354"/>
      <c r="O354">
        <v>31.42</v>
      </c>
      <c r="P354">
        <v>0.0</v>
      </c>
      <c r="Q354">
        <v>206.0</v>
      </c>
      <c r="R354"/>
      <c r="S354"/>
      <c r="T354"/>
      <c r="U354"/>
      <c r="V354"/>
      <c r="W354">
        <v>18</v>
      </c>
    </row>
    <row r="355" spans="1:23">
      <c r="A355"/>
      <c r="B355" t="s">
        <v>129</v>
      </c>
      <c r="C355" t="s">
        <v>129</v>
      </c>
      <c r="D355" t="s">
        <v>33</v>
      </c>
      <c r="E355" t="s">
        <v>34</v>
      </c>
      <c r="F355" t="str">
        <f>"0008398"</f>
        <v>0008398</v>
      </c>
      <c r="G355">
        <v>1</v>
      </c>
      <c r="H355" t="str">
        <f>"00000001"</f>
        <v>00000001</v>
      </c>
      <c r="I355" t="s">
        <v>35</v>
      </c>
      <c r="J355"/>
      <c r="K355">
        <v>372.87</v>
      </c>
      <c r="L355">
        <v>0.0</v>
      </c>
      <c r="M355"/>
      <c r="N355"/>
      <c r="O355">
        <v>67.12</v>
      </c>
      <c r="P355">
        <v>0.0</v>
      </c>
      <c r="Q355">
        <v>439.99</v>
      </c>
      <c r="R355"/>
      <c r="S355"/>
      <c r="T355"/>
      <c r="U355"/>
      <c r="V355"/>
      <c r="W355">
        <v>18</v>
      </c>
    </row>
    <row r="356" spans="1:23">
      <c r="A356"/>
      <c r="B356" t="s">
        <v>131</v>
      </c>
      <c r="C356" t="s">
        <v>131</v>
      </c>
      <c r="D356" t="s">
        <v>33</v>
      </c>
      <c r="E356" t="s">
        <v>34</v>
      </c>
      <c r="F356" t="str">
        <f>"0008399"</f>
        <v>0008399</v>
      </c>
      <c r="G356">
        <v>1</v>
      </c>
      <c r="H356" t="str">
        <f>"0005GRAD"</f>
        <v>0005GRAD</v>
      </c>
      <c r="I356" t="s">
        <v>132</v>
      </c>
      <c r="J356"/>
      <c r="K356">
        <v>57.63</v>
      </c>
      <c r="L356">
        <v>0.0</v>
      </c>
      <c r="M356"/>
      <c r="N356"/>
      <c r="O356">
        <v>10.37</v>
      </c>
      <c r="P356">
        <v>0.0</v>
      </c>
      <c r="Q356">
        <v>68.0</v>
      </c>
      <c r="R356"/>
      <c r="S356"/>
      <c r="T356"/>
      <c r="U356"/>
      <c r="V356"/>
      <c r="W356">
        <v>18</v>
      </c>
    </row>
    <row r="357" spans="1:23">
      <c r="A357"/>
      <c r="B357" t="s">
        <v>131</v>
      </c>
      <c r="C357" t="s">
        <v>131</v>
      </c>
      <c r="D357" t="s">
        <v>33</v>
      </c>
      <c r="E357" t="s">
        <v>34</v>
      </c>
      <c r="F357" t="str">
        <f>"0008400"</f>
        <v>0008400</v>
      </c>
      <c r="G357">
        <v>1</v>
      </c>
      <c r="H357" t="str">
        <f>"00000001"</f>
        <v>00000001</v>
      </c>
      <c r="I357" t="s">
        <v>35</v>
      </c>
      <c r="J357"/>
      <c r="K357">
        <v>127.12</v>
      </c>
      <c r="L357">
        <v>0.0</v>
      </c>
      <c r="M357"/>
      <c r="N357"/>
      <c r="O357">
        <v>22.88</v>
      </c>
      <c r="P357">
        <v>0.0</v>
      </c>
      <c r="Q357">
        <v>150.0</v>
      </c>
      <c r="R357"/>
      <c r="S357"/>
      <c r="T357"/>
      <c r="U357"/>
      <c r="V357"/>
      <c r="W357">
        <v>18</v>
      </c>
    </row>
    <row r="358" spans="1:23">
      <c r="A358"/>
      <c r="B358" t="s">
        <v>131</v>
      </c>
      <c r="C358" t="s">
        <v>131</v>
      </c>
      <c r="D358" t="s">
        <v>33</v>
      </c>
      <c r="E358" t="s">
        <v>34</v>
      </c>
      <c r="F358" t="str">
        <f>"0008401"</f>
        <v>0008401</v>
      </c>
      <c r="G358">
        <v>1</v>
      </c>
      <c r="H358" t="str">
        <f>"00000001"</f>
        <v>00000001</v>
      </c>
      <c r="I358" t="s">
        <v>35</v>
      </c>
      <c r="J358"/>
      <c r="K358">
        <v>20.34</v>
      </c>
      <c r="L358">
        <v>0.0</v>
      </c>
      <c r="M358"/>
      <c r="N358"/>
      <c r="O358">
        <v>3.66</v>
      </c>
      <c r="P358">
        <v>0.0</v>
      </c>
      <c r="Q358">
        <v>24.0</v>
      </c>
      <c r="R358"/>
      <c r="S358"/>
      <c r="T358"/>
      <c r="U358"/>
      <c r="V358"/>
      <c r="W358">
        <v>18</v>
      </c>
    </row>
    <row r="359" spans="1:23">
      <c r="A359"/>
      <c r="B359" t="s">
        <v>131</v>
      </c>
      <c r="C359" t="s">
        <v>131</v>
      </c>
      <c r="D359" t="s">
        <v>33</v>
      </c>
      <c r="E359" t="s">
        <v>34</v>
      </c>
      <c r="F359" t="str">
        <f>"0008402"</f>
        <v>0008402</v>
      </c>
      <c r="G359">
        <v>1</v>
      </c>
      <c r="H359" t="str">
        <f>"00000001"</f>
        <v>00000001</v>
      </c>
      <c r="I359" t="s">
        <v>35</v>
      </c>
      <c r="J359"/>
      <c r="K359">
        <v>38.14</v>
      </c>
      <c r="L359">
        <v>0.0</v>
      </c>
      <c r="M359"/>
      <c r="N359"/>
      <c r="O359">
        <v>6.86</v>
      </c>
      <c r="P359">
        <v>0.0</v>
      </c>
      <c r="Q359">
        <v>45.0</v>
      </c>
      <c r="R359"/>
      <c r="S359"/>
      <c r="T359"/>
      <c r="U359"/>
      <c r="V359"/>
      <c r="W359">
        <v>18</v>
      </c>
    </row>
    <row r="360" spans="1:23">
      <c r="A360"/>
      <c r="B360" t="s">
        <v>131</v>
      </c>
      <c r="C360" t="s">
        <v>131</v>
      </c>
      <c r="D360" t="s">
        <v>33</v>
      </c>
      <c r="E360" t="s">
        <v>34</v>
      </c>
      <c r="F360" t="str">
        <f>"0008403"</f>
        <v>0008403</v>
      </c>
      <c r="G360">
        <v>1</v>
      </c>
      <c r="H360" t="str">
        <f>"00000001"</f>
        <v>00000001</v>
      </c>
      <c r="I360" t="s">
        <v>35</v>
      </c>
      <c r="J360"/>
      <c r="K360">
        <v>25.42</v>
      </c>
      <c r="L360">
        <v>0.0</v>
      </c>
      <c r="M360"/>
      <c r="N360"/>
      <c r="O360">
        <v>4.58</v>
      </c>
      <c r="P360">
        <v>0.0</v>
      </c>
      <c r="Q360">
        <v>30.0</v>
      </c>
      <c r="R360"/>
      <c r="S360"/>
      <c r="T360"/>
      <c r="U360"/>
      <c r="V360"/>
      <c r="W360">
        <v>18</v>
      </c>
    </row>
    <row r="361" spans="1:23">
      <c r="A361"/>
      <c r="B361" t="s">
        <v>131</v>
      </c>
      <c r="C361" t="s">
        <v>131</v>
      </c>
      <c r="D361" t="s">
        <v>33</v>
      </c>
      <c r="E361" t="s">
        <v>34</v>
      </c>
      <c r="F361" t="str">
        <f>"0008404"</f>
        <v>0008404</v>
      </c>
      <c r="G361">
        <v>1</v>
      </c>
      <c r="H361" t="str">
        <f>"00000001"</f>
        <v>00000001</v>
      </c>
      <c r="I361" t="s">
        <v>35</v>
      </c>
      <c r="J361"/>
      <c r="K361">
        <v>211.86</v>
      </c>
      <c r="L361">
        <v>0.0</v>
      </c>
      <c r="M361"/>
      <c r="N361"/>
      <c r="O361">
        <v>38.14</v>
      </c>
      <c r="P361">
        <v>0.0</v>
      </c>
      <c r="Q361">
        <v>250.0</v>
      </c>
      <c r="R361"/>
      <c r="S361"/>
      <c r="T361"/>
      <c r="U361"/>
      <c r="V361"/>
      <c r="W361">
        <v>18</v>
      </c>
    </row>
    <row r="362" spans="1:23">
      <c r="A362"/>
      <c r="B362" t="s">
        <v>131</v>
      </c>
      <c r="C362" t="s">
        <v>131</v>
      </c>
      <c r="D362" t="s">
        <v>33</v>
      </c>
      <c r="E362" t="s">
        <v>34</v>
      </c>
      <c r="F362" t="str">
        <f>"0008405"</f>
        <v>0008405</v>
      </c>
      <c r="G362">
        <v>1</v>
      </c>
      <c r="H362" t="str">
        <f>"00000001"</f>
        <v>00000001</v>
      </c>
      <c r="I362" t="s">
        <v>35</v>
      </c>
      <c r="J362"/>
      <c r="K362">
        <v>11.86</v>
      </c>
      <c r="L362">
        <v>0.0</v>
      </c>
      <c r="M362"/>
      <c r="N362"/>
      <c r="O362">
        <v>2.14</v>
      </c>
      <c r="P362">
        <v>0.0</v>
      </c>
      <c r="Q362">
        <v>14.0</v>
      </c>
      <c r="R362"/>
      <c r="S362"/>
      <c r="T362"/>
      <c r="U362"/>
      <c r="V362"/>
      <c r="W362">
        <v>18</v>
      </c>
    </row>
    <row r="363" spans="1:23">
      <c r="A363"/>
      <c r="B363" t="s">
        <v>131</v>
      </c>
      <c r="C363" t="s">
        <v>131</v>
      </c>
      <c r="D363" t="s">
        <v>33</v>
      </c>
      <c r="E363" t="s">
        <v>34</v>
      </c>
      <c r="F363" t="str">
        <f>"0008406"</f>
        <v>0008406</v>
      </c>
      <c r="G363">
        <v>1</v>
      </c>
      <c r="H363" t="str">
        <f>"00000001"</f>
        <v>00000001</v>
      </c>
      <c r="I363" t="s">
        <v>35</v>
      </c>
      <c r="J363"/>
      <c r="K363">
        <v>50.85</v>
      </c>
      <c r="L363">
        <v>0.0</v>
      </c>
      <c r="M363"/>
      <c r="N363"/>
      <c r="O363">
        <v>9.15</v>
      </c>
      <c r="P363">
        <v>0.0</v>
      </c>
      <c r="Q363">
        <v>60.0</v>
      </c>
      <c r="R363"/>
      <c r="S363"/>
      <c r="T363"/>
      <c r="U363"/>
      <c r="V363"/>
      <c r="W363">
        <v>18</v>
      </c>
    </row>
    <row r="364" spans="1:23">
      <c r="A364"/>
      <c r="B364" t="s">
        <v>131</v>
      </c>
      <c r="C364" t="s">
        <v>131</v>
      </c>
      <c r="D364" t="s">
        <v>33</v>
      </c>
      <c r="E364" t="s">
        <v>34</v>
      </c>
      <c r="F364" t="str">
        <f>"0008407"</f>
        <v>0008407</v>
      </c>
      <c r="G364">
        <v>1</v>
      </c>
      <c r="H364" t="str">
        <f>"00000001"</f>
        <v>00000001</v>
      </c>
      <c r="I364" t="s">
        <v>35</v>
      </c>
      <c r="J364"/>
      <c r="K364">
        <v>47.03</v>
      </c>
      <c r="L364">
        <v>0.0</v>
      </c>
      <c r="M364"/>
      <c r="N364"/>
      <c r="O364">
        <v>8.47</v>
      </c>
      <c r="P364">
        <v>0.0</v>
      </c>
      <c r="Q364">
        <v>55.5</v>
      </c>
      <c r="R364"/>
      <c r="S364"/>
      <c r="T364"/>
      <c r="U364"/>
      <c r="V364"/>
      <c r="W364">
        <v>18</v>
      </c>
    </row>
    <row r="365" spans="1:23">
      <c r="A365"/>
      <c r="B365" t="s">
        <v>131</v>
      </c>
      <c r="C365" t="s">
        <v>131</v>
      </c>
      <c r="D365" t="s">
        <v>33</v>
      </c>
      <c r="E365" t="s">
        <v>34</v>
      </c>
      <c r="F365" t="str">
        <f>"0008408"</f>
        <v>0008408</v>
      </c>
      <c r="G365">
        <v>1</v>
      </c>
      <c r="H365" t="str">
        <f>"00000001"</f>
        <v>00000001</v>
      </c>
      <c r="I365" t="s">
        <v>35</v>
      </c>
      <c r="J365"/>
      <c r="K365">
        <v>16.95</v>
      </c>
      <c r="L365">
        <v>0.0</v>
      </c>
      <c r="M365"/>
      <c r="N365"/>
      <c r="O365">
        <v>3.05</v>
      </c>
      <c r="P365">
        <v>0.0</v>
      </c>
      <c r="Q365">
        <v>20.0</v>
      </c>
      <c r="R365"/>
      <c r="S365"/>
      <c r="T365"/>
      <c r="U365"/>
      <c r="V365"/>
      <c r="W365">
        <v>18</v>
      </c>
    </row>
    <row r="366" spans="1:23">
      <c r="A366"/>
      <c r="B366" t="s">
        <v>131</v>
      </c>
      <c r="C366" t="s">
        <v>131</v>
      </c>
      <c r="D366" t="s">
        <v>33</v>
      </c>
      <c r="E366" t="s">
        <v>34</v>
      </c>
      <c r="F366" t="str">
        <f>"0008409"</f>
        <v>0008409</v>
      </c>
      <c r="G366">
        <v>1</v>
      </c>
      <c r="H366" t="str">
        <f>"00000001"</f>
        <v>00000001</v>
      </c>
      <c r="I366" t="s">
        <v>35</v>
      </c>
      <c r="J366"/>
      <c r="K366">
        <v>25.42</v>
      </c>
      <c r="L366">
        <v>0.0</v>
      </c>
      <c r="M366"/>
      <c r="N366"/>
      <c r="O366">
        <v>4.58</v>
      </c>
      <c r="P366">
        <v>0.0</v>
      </c>
      <c r="Q366">
        <v>30.0</v>
      </c>
      <c r="R366"/>
      <c r="S366"/>
      <c r="T366"/>
      <c r="U366"/>
      <c r="V366"/>
      <c r="W366">
        <v>18</v>
      </c>
    </row>
    <row r="367" spans="1:23">
      <c r="A367"/>
      <c r="B367" t="s">
        <v>131</v>
      </c>
      <c r="C367" t="s">
        <v>131</v>
      </c>
      <c r="D367" t="s">
        <v>33</v>
      </c>
      <c r="E367" t="s">
        <v>34</v>
      </c>
      <c r="F367" t="str">
        <f>"0008410"</f>
        <v>0008410</v>
      </c>
      <c r="G367">
        <v>1</v>
      </c>
      <c r="H367" t="str">
        <f>"00000001"</f>
        <v>00000001</v>
      </c>
      <c r="I367" t="s">
        <v>35</v>
      </c>
      <c r="J367"/>
      <c r="K367">
        <v>32.63</v>
      </c>
      <c r="L367">
        <v>0.0</v>
      </c>
      <c r="M367"/>
      <c r="N367"/>
      <c r="O367">
        <v>5.87</v>
      </c>
      <c r="P367">
        <v>0.0</v>
      </c>
      <c r="Q367">
        <v>38.5</v>
      </c>
      <c r="R367"/>
      <c r="S367"/>
      <c r="T367"/>
      <c r="U367"/>
      <c r="V367"/>
      <c r="W367">
        <v>18</v>
      </c>
    </row>
    <row r="368" spans="1:23">
      <c r="A368"/>
      <c r="B368" t="s">
        <v>131</v>
      </c>
      <c r="C368" t="s">
        <v>131</v>
      </c>
      <c r="D368" t="s">
        <v>33</v>
      </c>
      <c r="E368" t="s">
        <v>34</v>
      </c>
      <c r="F368" t="str">
        <f>"0008411"</f>
        <v>0008411</v>
      </c>
      <c r="G368">
        <v>1</v>
      </c>
      <c r="H368" t="str">
        <f>"00000001"</f>
        <v>00000001</v>
      </c>
      <c r="I368" t="s">
        <v>35</v>
      </c>
      <c r="J368"/>
      <c r="K368">
        <v>40.68</v>
      </c>
      <c r="L368">
        <v>0.0</v>
      </c>
      <c r="M368"/>
      <c r="N368"/>
      <c r="O368">
        <v>7.32</v>
      </c>
      <c r="P368">
        <v>0.0</v>
      </c>
      <c r="Q368">
        <v>48.0</v>
      </c>
      <c r="R368"/>
      <c r="S368"/>
      <c r="T368"/>
      <c r="U368"/>
      <c r="V368"/>
      <c r="W368">
        <v>18</v>
      </c>
    </row>
    <row r="369" spans="1:23">
      <c r="A369"/>
      <c r="B369" t="s">
        <v>131</v>
      </c>
      <c r="C369" t="s">
        <v>131</v>
      </c>
      <c r="D369" t="s">
        <v>33</v>
      </c>
      <c r="E369" t="s">
        <v>34</v>
      </c>
      <c r="F369" t="str">
        <f>"0008412"</f>
        <v>0008412</v>
      </c>
      <c r="G369">
        <v>1</v>
      </c>
      <c r="H369" t="str">
        <f>"00000001"</f>
        <v>00000001</v>
      </c>
      <c r="I369" t="s">
        <v>35</v>
      </c>
      <c r="J369"/>
      <c r="K369">
        <v>166.1</v>
      </c>
      <c r="L369">
        <v>0.0</v>
      </c>
      <c r="M369"/>
      <c r="N369"/>
      <c r="O369">
        <v>29.9</v>
      </c>
      <c r="P369">
        <v>0.0</v>
      </c>
      <c r="Q369">
        <v>196.0</v>
      </c>
      <c r="R369"/>
      <c r="S369"/>
      <c r="T369"/>
      <c r="U369"/>
      <c r="V369"/>
      <c r="W369">
        <v>18</v>
      </c>
    </row>
    <row r="370" spans="1:23">
      <c r="A370"/>
      <c r="B370" t="s">
        <v>131</v>
      </c>
      <c r="C370" t="s">
        <v>131</v>
      </c>
      <c r="D370" t="s">
        <v>33</v>
      </c>
      <c r="E370" t="s">
        <v>34</v>
      </c>
      <c r="F370" t="str">
        <f>"0008413"</f>
        <v>0008413</v>
      </c>
      <c r="G370">
        <v>1</v>
      </c>
      <c r="H370" t="str">
        <f>"00000001"</f>
        <v>00000001</v>
      </c>
      <c r="I370" t="s">
        <v>35</v>
      </c>
      <c r="J370"/>
      <c r="K370">
        <v>66.1</v>
      </c>
      <c r="L370">
        <v>0.0</v>
      </c>
      <c r="M370"/>
      <c r="N370"/>
      <c r="O370">
        <v>11.9</v>
      </c>
      <c r="P370">
        <v>0.0</v>
      </c>
      <c r="Q370">
        <v>78.0</v>
      </c>
      <c r="R370"/>
      <c r="S370"/>
      <c r="T370"/>
      <c r="U370"/>
      <c r="V370"/>
      <c r="W370">
        <v>18</v>
      </c>
    </row>
    <row r="371" spans="1:23">
      <c r="A371"/>
      <c r="B371" t="s">
        <v>131</v>
      </c>
      <c r="C371" t="s">
        <v>131</v>
      </c>
      <c r="D371" t="s">
        <v>33</v>
      </c>
      <c r="E371" t="s">
        <v>34</v>
      </c>
      <c r="F371" t="str">
        <f>"0008414"</f>
        <v>0008414</v>
      </c>
      <c r="G371">
        <v>1</v>
      </c>
      <c r="H371" t="str">
        <f>"00000001"</f>
        <v>00000001</v>
      </c>
      <c r="I371" t="s">
        <v>35</v>
      </c>
      <c r="J371"/>
      <c r="K371">
        <v>59.32</v>
      </c>
      <c r="L371">
        <v>0.0</v>
      </c>
      <c r="M371"/>
      <c r="N371"/>
      <c r="O371">
        <v>10.68</v>
      </c>
      <c r="P371">
        <v>0.0</v>
      </c>
      <c r="Q371">
        <v>70.0</v>
      </c>
      <c r="R371"/>
      <c r="S371"/>
      <c r="T371"/>
      <c r="U371"/>
      <c r="V371"/>
      <c r="W371">
        <v>18</v>
      </c>
    </row>
    <row r="372" spans="1:23">
      <c r="A372"/>
      <c r="B372" t="s">
        <v>131</v>
      </c>
      <c r="C372" t="s">
        <v>131</v>
      </c>
      <c r="D372" t="s">
        <v>33</v>
      </c>
      <c r="E372" t="s">
        <v>34</v>
      </c>
      <c r="F372" t="str">
        <f>"0008415"</f>
        <v>0008415</v>
      </c>
      <c r="G372">
        <v>1</v>
      </c>
      <c r="H372" t="str">
        <f>"00000001"</f>
        <v>00000001</v>
      </c>
      <c r="I372" t="s">
        <v>35</v>
      </c>
      <c r="J372"/>
      <c r="K372">
        <v>313.56</v>
      </c>
      <c r="L372">
        <v>0.0</v>
      </c>
      <c r="M372"/>
      <c r="N372"/>
      <c r="O372">
        <v>56.44</v>
      </c>
      <c r="P372">
        <v>0.0</v>
      </c>
      <c r="Q372">
        <v>370.0</v>
      </c>
      <c r="R372"/>
      <c r="S372"/>
      <c r="T372"/>
      <c r="U372"/>
      <c r="V372"/>
      <c r="W372">
        <v>18</v>
      </c>
    </row>
    <row r="373" spans="1:23">
      <c r="A373"/>
      <c r="B373" t="s">
        <v>131</v>
      </c>
      <c r="C373" t="s">
        <v>131</v>
      </c>
      <c r="D373" t="s">
        <v>33</v>
      </c>
      <c r="E373" t="s">
        <v>34</v>
      </c>
      <c r="F373" t="str">
        <f>"0008416"</f>
        <v>0008416</v>
      </c>
      <c r="G373">
        <v>1</v>
      </c>
      <c r="H373" t="str">
        <f>"00000001"</f>
        <v>00000001</v>
      </c>
      <c r="I373" t="s">
        <v>35</v>
      </c>
      <c r="J373"/>
      <c r="K373">
        <v>152.54</v>
      </c>
      <c r="L373">
        <v>0.0</v>
      </c>
      <c r="M373"/>
      <c r="N373"/>
      <c r="O373">
        <v>27.46</v>
      </c>
      <c r="P373">
        <v>0.0</v>
      </c>
      <c r="Q373">
        <v>180.0</v>
      </c>
      <c r="R373"/>
      <c r="S373"/>
      <c r="T373"/>
      <c r="U373"/>
      <c r="V373"/>
      <c r="W373">
        <v>18</v>
      </c>
    </row>
    <row r="374" spans="1:23">
      <c r="A374"/>
      <c r="B374" t="s">
        <v>131</v>
      </c>
      <c r="C374" t="s">
        <v>131</v>
      </c>
      <c r="D374" t="s">
        <v>33</v>
      </c>
      <c r="E374" t="s">
        <v>34</v>
      </c>
      <c r="F374" t="str">
        <f>"0008417"</f>
        <v>0008417</v>
      </c>
      <c r="G374">
        <v>1</v>
      </c>
      <c r="H374" t="str">
        <f>"00000001"</f>
        <v>00000001</v>
      </c>
      <c r="I374" t="s">
        <v>35</v>
      </c>
      <c r="J374"/>
      <c r="K374">
        <v>118.64</v>
      </c>
      <c r="L374">
        <v>0.0</v>
      </c>
      <c r="M374"/>
      <c r="N374"/>
      <c r="O374">
        <v>21.36</v>
      </c>
      <c r="P374">
        <v>0.0</v>
      </c>
      <c r="Q374">
        <v>140.0</v>
      </c>
      <c r="R374"/>
      <c r="S374"/>
      <c r="T374"/>
      <c r="U374"/>
      <c r="V374"/>
      <c r="W374">
        <v>18</v>
      </c>
    </row>
    <row r="375" spans="1:23">
      <c r="A375"/>
      <c r="B375" t="s">
        <v>131</v>
      </c>
      <c r="C375" t="s">
        <v>131</v>
      </c>
      <c r="D375" t="s">
        <v>33</v>
      </c>
      <c r="E375" t="s">
        <v>34</v>
      </c>
      <c r="F375" t="str">
        <f>"0008418"</f>
        <v>0008418</v>
      </c>
      <c r="G375">
        <v>1</v>
      </c>
      <c r="H375" t="str">
        <f>"00000001"</f>
        <v>00000001</v>
      </c>
      <c r="I375" t="s">
        <v>35</v>
      </c>
      <c r="J375"/>
      <c r="K375">
        <v>42.37</v>
      </c>
      <c r="L375">
        <v>0.0</v>
      </c>
      <c r="M375"/>
      <c r="N375"/>
      <c r="O375">
        <v>7.63</v>
      </c>
      <c r="P375">
        <v>0.0</v>
      </c>
      <c r="Q375">
        <v>50.0</v>
      </c>
      <c r="R375"/>
      <c r="S375"/>
      <c r="T375"/>
      <c r="U375"/>
      <c r="V375"/>
      <c r="W375">
        <v>18</v>
      </c>
    </row>
    <row r="376" spans="1:23">
      <c r="A376"/>
      <c r="B376" t="s">
        <v>131</v>
      </c>
      <c r="C376" t="s">
        <v>131</v>
      </c>
      <c r="D376" t="s">
        <v>33</v>
      </c>
      <c r="E376" t="s">
        <v>34</v>
      </c>
      <c r="F376" t="str">
        <f>"0008419"</f>
        <v>0008419</v>
      </c>
      <c r="G376">
        <v>1</v>
      </c>
      <c r="H376" t="str">
        <f>"00000001"</f>
        <v>00000001</v>
      </c>
      <c r="I376" t="s">
        <v>35</v>
      </c>
      <c r="J376"/>
      <c r="K376">
        <v>135.59</v>
      </c>
      <c r="L376">
        <v>0.0</v>
      </c>
      <c r="M376"/>
      <c r="N376"/>
      <c r="O376">
        <v>24.41</v>
      </c>
      <c r="P376">
        <v>0.0</v>
      </c>
      <c r="Q376">
        <v>160.0</v>
      </c>
      <c r="R376"/>
      <c r="S376"/>
      <c r="T376"/>
      <c r="U376"/>
      <c r="V376"/>
      <c r="W376">
        <v>18</v>
      </c>
    </row>
    <row r="377" spans="1:23">
      <c r="A377"/>
      <c r="B377" t="s">
        <v>133</v>
      </c>
      <c r="C377" t="s">
        <v>133</v>
      </c>
      <c r="D377" t="s">
        <v>33</v>
      </c>
      <c r="E377" t="s">
        <v>34</v>
      </c>
      <c r="F377" t="str">
        <f>"0008420"</f>
        <v>0008420</v>
      </c>
      <c r="G377">
        <v>1</v>
      </c>
      <c r="H377" t="str">
        <f>"0000CSVC"</f>
        <v>0000CSVC</v>
      </c>
      <c r="I377" t="s">
        <v>58</v>
      </c>
      <c r="J377"/>
      <c r="K377">
        <v>5.08</v>
      </c>
      <c r="L377">
        <v>0.0</v>
      </c>
      <c r="M377"/>
      <c r="N377"/>
      <c r="O377">
        <v>0.92</v>
      </c>
      <c r="P377">
        <v>0.0</v>
      </c>
      <c r="Q377">
        <v>6.0</v>
      </c>
      <c r="R377"/>
      <c r="S377"/>
      <c r="T377"/>
      <c r="U377"/>
      <c r="V377"/>
      <c r="W377">
        <v>18</v>
      </c>
    </row>
    <row r="378" spans="1:23">
      <c r="A378"/>
      <c r="B378" t="s">
        <v>133</v>
      </c>
      <c r="C378" t="s">
        <v>133</v>
      </c>
      <c r="D378" t="s">
        <v>33</v>
      </c>
      <c r="E378" t="s">
        <v>34</v>
      </c>
      <c r="F378" t="str">
        <f>"0008421"</f>
        <v>0008421</v>
      </c>
      <c r="G378">
        <v>1</v>
      </c>
      <c r="H378" t="str">
        <f>"0000CSVC"</f>
        <v>0000CSVC</v>
      </c>
      <c r="I378" t="s">
        <v>58</v>
      </c>
      <c r="J378"/>
      <c r="K378">
        <v>13.56</v>
      </c>
      <c r="L378">
        <v>0.0</v>
      </c>
      <c r="M378"/>
      <c r="N378"/>
      <c r="O378">
        <v>2.44</v>
      </c>
      <c r="P378">
        <v>0.0</v>
      </c>
      <c r="Q378">
        <v>16.0</v>
      </c>
      <c r="R378"/>
      <c r="S378"/>
      <c r="T378"/>
      <c r="U378"/>
      <c r="V378"/>
      <c r="W378">
        <v>18</v>
      </c>
    </row>
    <row r="379" spans="1:23">
      <c r="A379"/>
      <c r="B379" t="s">
        <v>133</v>
      </c>
      <c r="C379" t="s">
        <v>133</v>
      </c>
      <c r="D379" t="s">
        <v>33</v>
      </c>
      <c r="E379" t="s">
        <v>34</v>
      </c>
      <c r="F379" t="str">
        <f>"0008422"</f>
        <v>0008422</v>
      </c>
      <c r="G379">
        <v>6</v>
      </c>
      <c r="H379" t="str">
        <f>"20148260843"</f>
        <v>20148260843</v>
      </c>
      <c r="I379" t="s">
        <v>62</v>
      </c>
      <c r="J379"/>
      <c r="K379">
        <v>4.24</v>
      </c>
      <c r="L379">
        <v>0.0</v>
      </c>
      <c r="M379"/>
      <c r="N379"/>
      <c r="O379">
        <v>0.76</v>
      </c>
      <c r="P379">
        <v>0.0</v>
      </c>
      <c r="Q379">
        <v>5.0</v>
      </c>
      <c r="R379"/>
      <c r="S379"/>
      <c r="T379"/>
      <c r="U379"/>
      <c r="V379"/>
      <c r="W379">
        <v>18</v>
      </c>
    </row>
    <row r="380" spans="1:23">
      <c r="A380"/>
      <c r="B380" t="s">
        <v>133</v>
      </c>
      <c r="C380" t="s">
        <v>133</v>
      </c>
      <c r="D380" t="s">
        <v>33</v>
      </c>
      <c r="E380" t="s">
        <v>34</v>
      </c>
      <c r="F380" t="str">
        <f>"0008423"</f>
        <v>0008423</v>
      </c>
      <c r="G380">
        <v>1</v>
      </c>
      <c r="H380" t="str">
        <f>"71271715"</f>
        <v>71271715</v>
      </c>
      <c r="I380" t="s">
        <v>134</v>
      </c>
      <c r="J380"/>
      <c r="K380">
        <v>152.54</v>
      </c>
      <c r="L380">
        <v>0.0</v>
      </c>
      <c r="M380"/>
      <c r="N380"/>
      <c r="O380">
        <v>27.46</v>
      </c>
      <c r="P380">
        <v>0.0</v>
      </c>
      <c r="Q380">
        <v>180.0</v>
      </c>
      <c r="R380"/>
      <c r="S380"/>
      <c r="T380"/>
      <c r="U380"/>
      <c r="V380"/>
      <c r="W380">
        <v>18</v>
      </c>
    </row>
    <row r="381" spans="1:23">
      <c r="A381"/>
      <c r="B381" t="s">
        <v>133</v>
      </c>
      <c r="C381" t="s">
        <v>133</v>
      </c>
      <c r="D381" t="s">
        <v>33</v>
      </c>
      <c r="E381" t="s">
        <v>34</v>
      </c>
      <c r="F381" t="str">
        <f>"0008424"</f>
        <v>0008424</v>
      </c>
      <c r="G381">
        <v>1</v>
      </c>
      <c r="H381" t="str">
        <f>"00000001"</f>
        <v>00000001</v>
      </c>
      <c r="I381" t="s">
        <v>35</v>
      </c>
      <c r="J381"/>
      <c r="K381">
        <v>127.12</v>
      </c>
      <c r="L381">
        <v>0.0</v>
      </c>
      <c r="M381"/>
      <c r="N381"/>
      <c r="O381">
        <v>22.88</v>
      </c>
      <c r="P381">
        <v>0.0</v>
      </c>
      <c r="Q381">
        <v>150.0</v>
      </c>
      <c r="R381"/>
      <c r="S381"/>
      <c r="T381"/>
      <c r="U381"/>
      <c r="V381"/>
      <c r="W381">
        <v>18</v>
      </c>
    </row>
    <row r="382" spans="1:23">
      <c r="A382"/>
      <c r="B382" t="s">
        <v>133</v>
      </c>
      <c r="C382" t="s">
        <v>133</v>
      </c>
      <c r="D382" t="s">
        <v>33</v>
      </c>
      <c r="E382" t="s">
        <v>34</v>
      </c>
      <c r="F382" t="str">
        <f>"0008425"</f>
        <v>0008425</v>
      </c>
      <c r="G382">
        <v>1</v>
      </c>
      <c r="H382" t="str">
        <f>"00000001"</f>
        <v>00000001</v>
      </c>
      <c r="I382" t="s">
        <v>35</v>
      </c>
      <c r="J382"/>
      <c r="K382">
        <v>127.12</v>
      </c>
      <c r="L382">
        <v>0.0</v>
      </c>
      <c r="M382"/>
      <c r="N382"/>
      <c r="O382">
        <v>22.88</v>
      </c>
      <c r="P382">
        <v>0.0</v>
      </c>
      <c r="Q382">
        <v>150.0</v>
      </c>
      <c r="R382"/>
      <c r="S382"/>
      <c r="T382"/>
      <c r="U382"/>
      <c r="V382"/>
      <c r="W382">
        <v>18</v>
      </c>
    </row>
    <row r="383" spans="1:23">
      <c r="A383"/>
      <c r="B383" t="s">
        <v>133</v>
      </c>
      <c r="C383" t="s">
        <v>133</v>
      </c>
      <c r="D383" t="s">
        <v>33</v>
      </c>
      <c r="E383" t="s">
        <v>34</v>
      </c>
      <c r="F383" t="str">
        <f>"0008426"</f>
        <v>0008426</v>
      </c>
      <c r="G383">
        <v>1</v>
      </c>
      <c r="H383" t="str">
        <f>"00000001"</f>
        <v>00000001</v>
      </c>
      <c r="I383" t="s">
        <v>35</v>
      </c>
      <c r="J383"/>
      <c r="K383">
        <v>84.75</v>
      </c>
      <c r="L383">
        <v>0.0</v>
      </c>
      <c r="M383"/>
      <c r="N383"/>
      <c r="O383">
        <v>15.25</v>
      </c>
      <c r="P383">
        <v>0.0</v>
      </c>
      <c r="Q383">
        <v>100.0</v>
      </c>
      <c r="R383"/>
      <c r="S383"/>
      <c r="T383"/>
      <c r="U383"/>
      <c r="V383"/>
      <c r="W383">
        <v>18</v>
      </c>
    </row>
    <row r="384" spans="1:23">
      <c r="A384"/>
      <c r="B384" t="s">
        <v>133</v>
      </c>
      <c r="C384" t="s">
        <v>133</v>
      </c>
      <c r="D384" t="s">
        <v>33</v>
      </c>
      <c r="E384" t="s">
        <v>34</v>
      </c>
      <c r="F384" t="str">
        <f>"0008427"</f>
        <v>0008427</v>
      </c>
      <c r="G384">
        <v>1</v>
      </c>
      <c r="H384" t="str">
        <f>"00000001"</f>
        <v>00000001</v>
      </c>
      <c r="I384" t="s">
        <v>35</v>
      </c>
      <c r="J384"/>
      <c r="K384">
        <v>67.8</v>
      </c>
      <c r="L384">
        <v>0.0</v>
      </c>
      <c r="M384"/>
      <c r="N384"/>
      <c r="O384">
        <v>12.2</v>
      </c>
      <c r="P384">
        <v>0.0</v>
      </c>
      <c r="Q384">
        <v>80.0</v>
      </c>
      <c r="R384"/>
      <c r="S384"/>
      <c r="T384"/>
      <c r="U384"/>
      <c r="V384"/>
      <c r="W384">
        <v>18</v>
      </c>
    </row>
    <row r="385" spans="1:23">
      <c r="A385"/>
      <c r="B385" t="s">
        <v>133</v>
      </c>
      <c r="C385" t="s">
        <v>133</v>
      </c>
      <c r="D385" t="s">
        <v>33</v>
      </c>
      <c r="E385" t="s">
        <v>34</v>
      </c>
      <c r="F385" t="str">
        <f>"0008428"</f>
        <v>0008428</v>
      </c>
      <c r="G385">
        <v>1</v>
      </c>
      <c r="H385" t="str">
        <f>"00000001"</f>
        <v>00000001</v>
      </c>
      <c r="I385" t="s">
        <v>35</v>
      </c>
      <c r="J385"/>
      <c r="K385">
        <v>271.12</v>
      </c>
      <c r="L385">
        <v>0.0</v>
      </c>
      <c r="M385"/>
      <c r="N385"/>
      <c r="O385">
        <v>48.8</v>
      </c>
      <c r="P385">
        <v>0.0</v>
      </c>
      <c r="Q385">
        <v>319.92</v>
      </c>
      <c r="R385"/>
      <c r="S385"/>
      <c r="T385"/>
      <c r="U385"/>
      <c r="V385"/>
      <c r="W385">
        <v>18</v>
      </c>
    </row>
    <row r="386" spans="1:23">
      <c r="A386"/>
      <c r="B386" t="s">
        <v>135</v>
      </c>
      <c r="C386" t="s">
        <v>135</v>
      </c>
      <c r="D386" t="s">
        <v>33</v>
      </c>
      <c r="E386" t="s">
        <v>34</v>
      </c>
      <c r="F386" t="str">
        <f>"0008429"</f>
        <v>0008429</v>
      </c>
      <c r="G386">
        <v>1</v>
      </c>
      <c r="H386" t="str">
        <f>"00IEN492"</f>
        <v>00IEN492</v>
      </c>
      <c r="I386" t="s">
        <v>136</v>
      </c>
      <c r="J386"/>
      <c r="K386">
        <v>13.56</v>
      </c>
      <c r="L386">
        <v>0.0</v>
      </c>
      <c r="M386"/>
      <c r="N386"/>
      <c r="O386">
        <v>2.44</v>
      </c>
      <c r="P386">
        <v>0.0</v>
      </c>
      <c r="Q386">
        <v>16.0</v>
      </c>
      <c r="R386"/>
      <c r="S386"/>
      <c r="T386"/>
      <c r="U386"/>
      <c r="V386"/>
      <c r="W386">
        <v>18</v>
      </c>
    </row>
    <row r="387" spans="1:23">
      <c r="A387"/>
      <c r="B387" t="s">
        <v>135</v>
      </c>
      <c r="C387" t="s">
        <v>135</v>
      </c>
      <c r="D387" t="s">
        <v>37</v>
      </c>
      <c r="E387" t="s">
        <v>38</v>
      </c>
      <c r="F387" t="str">
        <f>"0000585"</f>
        <v>0000585</v>
      </c>
      <c r="G387">
        <v>6</v>
      </c>
      <c r="H387" t="str">
        <f>"20453757146"</f>
        <v>20453757146</v>
      </c>
      <c r="I387" t="s">
        <v>48</v>
      </c>
      <c r="J387"/>
      <c r="K387">
        <v>10.17</v>
      </c>
      <c r="L387">
        <v>0.0</v>
      </c>
      <c r="M387"/>
      <c r="N387"/>
      <c r="O387">
        <v>1.83</v>
      </c>
      <c r="P387">
        <v>0.0</v>
      </c>
      <c r="Q387">
        <v>12.0</v>
      </c>
      <c r="R387"/>
      <c r="S387"/>
      <c r="T387"/>
      <c r="U387"/>
      <c r="V387"/>
      <c r="W387">
        <v>18</v>
      </c>
    </row>
    <row r="388" spans="1:23">
      <c r="A388"/>
      <c r="B388" t="s">
        <v>135</v>
      </c>
      <c r="C388" t="s">
        <v>135</v>
      </c>
      <c r="D388" t="s">
        <v>33</v>
      </c>
      <c r="E388" t="s">
        <v>34</v>
      </c>
      <c r="F388" t="str">
        <f>"0008430"</f>
        <v>0008430</v>
      </c>
      <c r="G388">
        <v>6</v>
      </c>
      <c r="H388" t="str">
        <f>"20148260843"</f>
        <v>20148260843</v>
      </c>
      <c r="I388" t="s">
        <v>62</v>
      </c>
      <c r="J388"/>
      <c r="K388">
        <v>8.47</v>
      </c>
      <c r="L388">
        <v>0.0</v>
      </c>
      <c r="M388"/>
      <c r="N388"/>
      <c r="O388">
        <v>1.53</v>
      </c>
      <c r="P388">
        <v>0.0</v>
      </c>
      <c r="Q388">
        <v>10.0</v>
      </c>
      <c r="R388"/>
      <c r="S388"/>
      <c r="T388"/>
      <c r="U388"/>
      <c r="V388"/>
      <c r="W388">
        <v>18</v>
      </c>
    </row>
    <row r="389" spans="1:23">
      <c r="A389"/>
      <c r="B389" t="s">
        <v>135</v>
      </c>
      <c r="C389" t="s">
        <v>135</v>
      </c>
      <c r="D389" t="s">
        <v>33</v>
      </c>
      <c r="E389" t="s">
        <v>34</v>
      </c>
      <c r="F389" t="str">
        <f>"0008431"</f>
        <v>0008431</v>
      </c>
      <c r="G389">
        <v>6</v>
      </c>
      <c r="H389" t="str">
        <f>"10757604685"</f>
        <v>10757604685</v>
      </c>
      <c r="I389" t="s">
        <v>112</v>
      </c>
      <c r="J389"/>
      <c r="K389">
        <v>8.47</v>
      </c>
      <c r="L389">
        <v>0.0</v>
      </c>
      <c r="M389"/>
      <c r="N389"/>
      <c r="O389">
        <v>1.53</v>
      </c>
      <c r="P389">
        <v>0.0</v>
      </c>
      <c r="Q389">
        <v>10.0</v>
      </c>
      <c r="R389"/>
      <c r="S389"/>
      <c r="T389"/>
      <c r="U389"/>
      <c r="V389"/>
      <c r="W389">
        <v>18</v>
      </c>
    </row>
    <row r="390" spans="1:23">
      <c r="A390"/>
      <c r="B390" t="s">
        <v>135</v>
      </c>
      <c r="C390" t="s">
        <v>135</v>
      </c>
      <c r="D390" t="s">
        <v>33</v>
      </c>
      <c r="E390" t="s">
        <v>34</v>
      </c>
      <c r="F390" t="str">
        <f>"0008432"</f>
        <v>0008432</v>
      </c>
      <c r="G390">
        <v>1</v>
      </c>
      <c r="H390" t="str">
        <f>"00000001"</f>
        <v>00000001</v>
      </c>
      <c r="I390" t="s">
        <v>35</v>
      </c>
      <c r="J390"/>
      <c r="K390">
        <v>91.53</v>
      </c>
      <c r="L390">
        <v>0.0</v>
      </c>
      <c r="M390"/>
      <c r="N390"/>
      <c r="O390">
        <v>16.47</v>
      </c>
      <c r="P390">
        <v>0.0</v>
      </c>
      <c r="Q390">
        <v>108.0</v>
      </c>
      <c r="R390"/>
      <c r="S390"/>
      <c r="T390"/>
      <c r="U390"/>
      <c r="V390"/>
      <c r="W390">
        <v>18</v>
      </c>
    </row>
    <row r="391" spans="1:23">
      <c r="A391"/>
      <c r="B391" t="s">
        <v>135</v>
      </c>
      <c r="C391" t="s">
        <v>135</v>
      </c>
      <c r="D391" t="s">
        <v>33</v>
      </c>
      <c r="E391" t="s">
        <v>34</v>
      </c>
      <c r="F391" t="str">
        <f>"0008433"</f>
        <v>0008433</v>
      </c>
      <c r="G391">
        <v>1</v>
      </c>
      <c r="H391" t="str">
        <f>"00000001"</f>
        <v>00000001</v>
      </c>
      <c r="I391" t="s">
        <v>35</v>
      </c>
      <c r="J391"/>
      <c r="K391">
        <v>25.42</v>
      </c>
      <c r="L391">
        <v>0.0</v>
      </c>
      <c r="M391"/>
      <c r="N391"/>
      <c r="O391">
        <v>4.58</v>
      </c>
      <c r="P391">
        <v>0.0</v>
      </c>
      <c r="Q391">
        <v>30.0</v>
      </c>
      <c r="R391"/>
      <c r="S391"/>
      <c r="T391"/>
      <c r="U391"/>
      <c r="V391"/>
      <c r="W391">
        <v>18</v>
      </c>
    </row>
    <row r="392" spans="1:23">
      <c r="A392"/>
      <c r="B392" t="s">
        <v>135</v>
      </c>
      <c r="C392" t="s">
        <v>135</v>
      </c>
      <c r="D392" t="s">
        <v>33</v>
      </c>
      <c r="E392" t="s">
        <v>34</v>
      </c>
      <c r="F392" t="str">
        <f>"0008434"</f>
        <v>0008434</v>
      </c>
      <c r="G392">
        <v>1</v>
      </c>
      <c r="H392" t="str">
        <f>"00000001"</f>
        <v>00000001</v>
      </c>
      <c r="I392" t="s">
        <v>35</v>
      </c>
      <c r="J392"/>
      <c r="K392">
        <v>84.75</v>
      </c>
      <c r="L392">
        <v>0.0</v>
      </c>
      <c r="M392"/>
      <c r="N392"/>
      <c r="O392">
        <v>15.25</v>
      </c>
      <c r="P392">
        <v>0.0</v>
      </c>
      <c r="Q392">
        <v>100.0</v>
      </c>
      <c r="R392"/>
      <c r="S392"/>
      <c r="T392"/>
      <c r="U392"/>
      <c r="V392"/>
      <c r="W392">
        <v>18</v>
      </c>
    </row>
    <row r="393" spans="1:23">
      <c r="A393"/>
      <c r="B393" t="s">
        <v>135</v>
      </c>
      <c r="C393" t="s">
        <v>135</v>
      </c>
      <c r="D393" t="s">
        <v>33</v>
      </c>
      <c r="E393" t="s">
        <v>34</v>
      </c>
      <c r="F393" t="str">
        <f>"0008435"</f>
        <v>0008435</v>
      </c>
      <c r="G393">
        <v>1</v>
      </c>
      <c r="H393" t="str">
        <f>"00000001"</f>
        <v>00000001</v>
      </c>
      <c r="I393" t="s">
        <v>35</v>
      </c>
      <c r="J393"/>
      <c r="K393">
        <v>39.83</v>
      </c>
      <c r="L393">
        <v>0.0</v>
      </c>
      <c r="M393"/>
      <c r="N393"/>
      <c r="O393">
        <v>7.17</v>
      </c>
      <c r="P393">
        <v>0.0</v>
      </c>
      <c r="Q393">
        <v>47.0</v>
      </c>
      <c r="R393"/>
      <c r="S393"/>
      <c r="T393"/>
      <c r="U393"/>
      <c r="V393"/>
      <c r="W393">
        <v>18</v>
      </c>
    </row>
    <row r="394" spans="1:23">
      <c r="A394"/>
      <c r="B394" t="s">
        <v>135</v>
      </c>
      <c r="C394" t="s">
        <v>135</v>
      </c>
      <c r="D394" t="s">
        <v>33</v>
      </c>
      <c r="E394" t="s">
        <v>34</v>
      </c>
      <c r="F394" t="str">
        <f>"0008436"</f>
        <v>0008436</v>
      </c>
      <c r="G394">
        <v>1</v>
      </c>
      <c r="H394" t="str">
        <f>"00000001"</f>
        <v>00000001</v>
      </c>
      <c r="I394" t="s">
        <v>35</v>
      </c>
      <c r="J394"/>
      <c r="K394">
        <v>132.17</v>
      </c>
      <c r="L394">
        <v>0.0</v>
      </c>
      <c r="M394"/>
      <c r="N394"/>
      <c r="O394">
        <v>23.79</v>
      </c>
      <c r="P394">
        <v>0.0</v>
      </c>
      <c r="Q394">
        <v>155.96</v>
      </c>
      <c r="R394"/>
      <c r="S394"/>
      <c r="T394"/>
      <c r="U394"/>
      <c r="V394"/>
      <c r="W394">
        <v>18</v>
      </c>
    </row>
    <row r="395" spans="1:23">
      <c r="A395"/>
      <c r="B395" t="s">
        <v>135</v>
      </c>
      <c r="C395" t="s">
        <v>135</v>
      </c>
      <c r="D395" t="s">
        <v>33</v>
      </c>
      <c r="E395" t="s">
        <v>34</v>
      </c>
      <c r="F395" t="str">
        <f>"0008437"</f>
        <v>0008437</v>
      </c>
      <c r="G395">
        <v>1</v>
      </c>
      <c r="H395" t="str">
        <f>"00000001"</f>
        <v>00000001</v>
      </c>
      <c r="I395" t="s">
        <v>35</v>
      </c>
      <c r="J395"/>
      <c r="K395">
        <v>95.76</v>
      </c>
      <c r="L395">
        <v>0.0</v>
      </c>
      <c r="M395"/>
      <c r="N395"/>
      <c r="O395">
        <v>17.24</v>
      </c>
      <c r="P395">
        <v>0.0</v>
      </c>
      <c r="Q395">
        <v>113.0</v>
      </c>
      <c r="R395"/>
      <c r="S395"/>
      <c r="T395"/>
      <c r="U395"/>
      <c r="V395"/>
      <c r="W395">
        <v>18</v>
      </c>
    </row>
    <row r="396" spans="1:23">
      <c r="A396"/>
      <c r="B396" t="s">
        <v>135</v>
      </c>
      <c r="C396" t="s">
        <v>135</v>
      </c>
      <c r="D396" t="s">
        <v>33</v>
      </c>
      <c r="E396" t="s">
        <v>34</v>
      </c>
      <c r="F396" t="str">
        <f>"0008438"</f>
        <v>0008438</v>
      </c>
      <c r="G396">
        <v>1</v>
      </c>
      <c r="H396" t="str">
        <f>"00000001"</f>
        <v>00000001</v>
      </c>
      <c r="I396" t="s">
        <v>35</v>
      </c>
      <c r="J396"/>
      <c r="K396">
        <v>29.66</v>
      </c>
      <c r="L396">
        <v>0.0</v>
      </c>
      <c r="M396"/>
      <c r="N396"/>
      <c r="O396">
        <v>5.34</v>
      </c>
      <c r="P396">
        <v>0.0</v>
      </c>
      <c r="Q396">
        <v>35.0</v>
      </c>
      <c r="R396"/>
      <c r="S396"/>
      <c r="T396"/>
      <c r="U396"/>
      <c r="V396"/>
      <c r="W396">
        <v>18</v>
      </c>
    </row>
    <row r="397" spans="1:23">
      <c r="A397"/>
      <c r="B397" t="s">
        <v>135</v>
      </c>
      <c r="C397" t="s">
        <v>135</v>
      </c>
      <c r="D397" t="s">
        <v>33</v>
      </c>
      <c r="E397" t="s">
        <v>34</v>
      </c>
      <c r="F397" t="str">
        <f>"0008439"</f>
        <v>0008439</v>
      </c>
      <c r="G397">
        <v>1</v>
      </c>
      <c r="H397" t="str">
        <f>"00000001"</f>
        <v>00000001</v>
      </c>
      <c r="I397" t="s">
        <v>35</v>
      </c>
      <c r="J397"/>
      <c r="K397">
        <v>127.12</v>
      </c>
      <c r="L397">
        <v>0.0</v>
      </c>
      <c r="M397"/>
      <c r="N397"/>
      <c r="O397">
        <v>22.88</v>
      </c>
      <c r="P397">
        <v>0.0</v>
      </c>
      <c r="Q397">
        <v>150.0</v>
      </c>
      <c r="R397"/>
      <c r="S397"/>
      <c r="T397"/>
      <c r="U397"/>
      <c r="V397"/>
      <c r="W397">
        <v>18</v>
      </c>
    </row>
    <row r="398" spans="1:23">
      <c r="A398"/>
      <c r="B398" t="s">
        <v>135</v>
      </c>
      <c r="C398" t="s">
        <v>135</v>
      </c>
      <c r="D398" t="s">
        <v>33</v>
      </c>
      <c r="E398" t="s">
        <v>34</v>
      </c>
      <c r="F398" t="str">
        <f>"0008440"</f>
        <v>0008440</v>
      </c>
      <c r="G398">
        <v>1</v>
      </c>
      <c r="H398" t="str">
        <f>"00IESMDP"</f>
        <v>00IESMDP</v>
      </c>
      <c r="I398" t="s">
        <v>137</v>
      </c>
      <c r="J398"/>
      <c r="K398">
        <v>5.08</v>
      </c>
      <c r="L398">
        <v>0.0</v>
      </c>
      <c r="M398"/>
      <c r="N398"/>
      <c r="O398">
        <v>0.92</v>
      </c>
      <c r="P398">
        <v>0.0</v>
      </c>
      <c r="Q398">
        <v>6.0</v>
      </c>
      <c r="R398"/>
      <c r="S398"/>
      <c r="T398"/>
      <c r="U398"/>
      <c r="V398"/>
      <c r="W398">
        <v>18</v>
      </c>
    </row>
    <row r="399" spans="1:23">
      <c r="A399"/>
      <c r="B399" t="s">
        <v>60</v>
      </c>
      <c r="C399" t="s">
        <v>60</v>
      </c>
      <c r="D399" t="s">
        <v>138</v>
      </c>
      <c r="E399" t="s">
        <v>34</v>
      </c>
      <c r="F399" t="str">
        <f>"0000066"</f>
        <v>0000066</v>
      </c>
      <c r="G399">
        <v>6</v>
      </c>
      <c r="H399" t="str">
        <f>"20610600787"</f>
        <v>20610600787</v>
      </c>
      <c r="I399" t="s">
        <v>63</v>
      </c>
      <c r="J399"/>
      <c r="K399">
        <v>-76.27</v>
      </c>
      <c r="L399">
        <v>0.0</v>
      </c>
      <c r="M399"/>
      <c r="N399"/>
      <c r="O399">
        <v>-13.73</v>
      </c>
      <c r="P399">
        <v>0.0</v>
      </c>
      <c r="Q399">
        <v>-90.0</v>
      </c>
      <c r="R399"/>
      <c r="S399" t="s">
        <v>60</v>
      </c>
      <c r="T399" t="s">
        <v>33</v>
      </c>
      <c r="U399" t="s">
        <v>34</v>
      </c>
      <c r="V399" t="s">
        <v>139</v>
      </c>
      <c r="W399">
        <v>18</v>
      </c>
    </row>
    <row r="400" spans="1:23">
      <c r="A400"/>
      <c r="B400" t="s">
        <v>133</v>
      </c>
      <c r="C400" t="s">
        <v>133</v>
      </c>
      <c r="D400" t="s">
        <v>138</v>
      </c>
      <c r="E400" t="s">
        <v>34</v>
      </c>
      <c r="F400" t="str">
        <f>"0000067"</f>
        <v>0000067</v>
      </c>
      <c r="G400">
        <v>1</v>
      </c>
      <c r="H400" t="str">
        <f>"0000CSVC"</f>
        <v>0000CSVC</v>
      </c>
      <c r="I400" t="s">
        <v>58</v>
      </c>
      <c r="J400"/>
      <c r="K400">
        <v>-5.08</v>
      </c>
      <c r="L400">
        <v>0.0</v>
      </c>
      <c r="M400"/>
      <c r="N400"/>
      <c r="O400">
        <v>-0.92</v>
      </c>
      <c r="P400">
        <v>0.0</v>
      </c>
      <c r="Q400">
        <v>-6.0</v>
      </c>
      <c r="R400"/>
      <c r="S400" t="s">
        <v>133</v>
      </c>
      <c r="T400" t="s">
        <v>33</v>
      </c>
      <c r="U400" t="s">
        <v>34</v>
      </c>
      <c r="V400" t="s">
        <v>140</v>
      </c>
      <c r="W400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2023-11-11T12:21:03-06:00</dcterms:created>
  <dcterms:modified xsi:type="dcterms:W3CDTF">2023-11-11T12:21:03-06:00</dcterms:modified>
  <dc:title>Untitled Spreadsheet</dc:title>
  <dc:description/>
  <dc:subject/>
  <cp:keywords/>
  <cp:category/>
</cp:coreProperties>
</file>