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<sst xmlns="http://schemas.openxmlformats.org/spreadsheetml/2006/main" uniqueCount="159">
  <si>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REPORTE DE VENTAS</t>
  </si>
  <si>
    <t>FECHA DE REPORTE:</t>
  </si>
  <si>
    <t>09/01/2026</t>
  </si>
  <si>
    <t>CRITERIO DE FILTRO:</t>
  </si>
  <si>
    <t>RANGO DE FECHAS:</t>
  </si>
  <si>
    <t>Desde 01/12/2025 hasta 31/12/2025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</si>
  <si>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</si>
  <si>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</si>
  <si>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</si>
  <si>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</si>
  <si>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</si>
  <si>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</si>
  <si>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</si>
  <si>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</si>
  <si>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</si>
  <si>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</si>
  <si>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</si>
  <si>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</si>
  <si>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</si>
  <si>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</si>
  <si>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</si>
  <si>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</si>
  <si>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</si>
  <si>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</si>
  <si>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</si>
  <si>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</si>
  <si>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</si>
  <si>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</si>
  <si>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</si>
  <si>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</si>
  <si>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</si>
  <si>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</si>
  <si>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01/12/2025</t>
  </si>
  <si>
    <t>03</t>
  </si>
  <si>
    <t>B001</t>
  </si>
  <si>
    <t>PUBLICO</t>
  </si>
  <si>
    <t>01</t>
  </si>
  <si>
    <t>F001</t>
  </si>
  <si>
    <t>INSTITUTO DE MEDICINA LEGAL Y CIENCIAS FORENSES</t>
  </si>
  <si>
    <t>I.E. 821033- CASHAPAMPA</t>
  </si>
  <si>
    <t xml:space="preserve">Henrry Nicolas Leonardo </t>
  </si>
  <si>
    <t xml:space="preserve">Benigno Rojas Tello </t>
  </si>
  <si>
    <t>MANUFACTURAS SAN ISIDRO S.A.C</t>
  </si>
  <si>
    <t>02/12/2025</t>
  </si>
  <si>
    <t>YEFERSON CHÃVEZ SAAVEDRA</t>
  </si>
  <si>
    <t>JOSÃ LUIS LUNA RAMOS</t>
  </si>
  <si>
    <t>ANDER GOICOCHEA CERDAN</t>
  </si>
  <si>
    <t>CONECTA RETAIL S.A.</t>
  </si>
  <si>
    <t>TIRADO SAUCEDO YON VICTOR ALDERXON</t>
  </si>
  <si>
    <t>RICHARD LEIVA AGUILAR</t>
  </si>
  <si>
    <t>TALIA MARRUFO LEIVA</t>
  </si>
  <si>
    <t>MIBANCO - BANCO DE LA MICROEMPRESA S.A.</t>
  </si>
  <si>
    <t>I.E.NÂ°82691-CHALA</t>
  </si>
  <si>
    <t>Cristo es la Roca - el Auque</t>
  </si>
  <si>
    <t>83010 BCA</t>
  </si>
  <si>
    <t>ASOCIACION BETHEL</t>
  </si>
  <si>
    <t xml:space="preserve">I.E.I NÂ°390 NUESTRA SEÃORA DE LOURDES </t>
  </si>
  <si>
    <t>VASQUEZ RUIZ JHONATAN</t>
  </si>
  <si>
    <t>03/12/2025</t>
  </si>
  <si>
    <t>PRÃNCIPE DE PAZ - BAMBAMARCA</t>
  </si>
  <si>
    <t>INSTITUTO SUPERIOR PEDAGOGICO PUBLICO BAMBAMARCA</t>
  </si>
  <si>
    <t>I.E. DIVINO CORAZON DE JESUS - EL CUMBE</t>
  </si>
  <si>
    <t>04/12/2025</t>
  </si>
  <si>
    <t>MUNICIPALIDAD PROVINCIAL DE HUALGAYOC</t>
  </si>
  <si>
    <t>I.E. SAN CARLOS - BAMBAMARCA</t>
  </si>
  <si>
    <t xml:space="preserve">COMISARIA LLAUCAN </t>
  </si>
  <si>
    <t>05/12/2025</t>
  </si>
  <si>
    <t>LGUEVARA EMPRESA DE MULTISERVICIOS Y CONSTRUCCION E.I.R.L.</t>
  </si>
  <si>
    <t>06/12/2025</t>
  </si>
  <si>
    <t>CENTRO DE SALUD VIRGEN DEL CARMEN - BCA</t>
  </si>
  <si>
    <t>MARIA ELENA DEL SOCORRO GRANDA NOLE</t>
  </si>
  <si>
    <t>RAPID LA PERU S.A.C.</t>
  </si>
  <si>
    <t>LIZ COTRINA VASQUEZ</t>
  </si>
  <si>
    <t>07/12/2025</t>
  </si>
  <si>
    <t xml:space="preserve">ASOCIACION SERVICIO ENSEÃANZA Y DESARROLLO DE ACCION SOCIAL  </t>
  </si>
  <si>
    <t xml:space="preserve">PROMESA DE JEHOVA-APAN BAJO </t>
  </si>
  <si>
    <t>I.E.01000</t>
  </si>
  <si>
    <t>08/12/2025</t>
  </si>
  <si>
    <t>09/12/2025</t>
  </si>
  <si>
    <t>CORTEZ CASTILLO EMILIO</t>
  </si>
  <si>
    <t xml:space="preserve">MARIANELA TIRADO CHAVARRY </t>
  </si>
  <si>
    <t>CARUAJULCA MARIN MAIRA</t>
  </si>
  <si>
    <t>10/12/2025</t>
  </si>
  <si>
    <t>UNIDAD DE GESTION EDUCATIVA LOCAL DE LA PROVINCIA DE HUALGAYOC</t>
  </si>
  <si>
    <t>11/12/2025</t>
  </si>
  <si>
    <t>EMPRESA DE SERVICIOS MULTIPLES CRECE CAJAMARCA S.A.C.</t>
  </si>
  <si>
    <t>I.E.NUESTRA SEÃORA DE LOURDES</t>
  </si>
  <si>
    <t>HERMANAS DOMINICAS</t>
  </si>
  <si>
    <t xml:space="preserve">BUENO CIEZA NELSON </t>
  </si>
  <si>
    <t>SUTEP</t>
  </si>
  <si>
    <t>COOPERATIVA DE AHORRO Y CREDITO TODOS LOS SANTOS DE CHOTA LTDA 560</t>
  </si>
  <si>
    <t>INSTITUTO DE EDUCACIÃN SUPERIOR TECNOLÃGICO PÃBLICO "BAMBAMARCA"</t>
  </si>
  <si>
    <t>12/12/2025</t>
  </si>
  <si>
    <t>I.E.SAN CARLOS- IMAGEN INSTITUCIONAL</t>
  </si>
  <si>
    <t xml:space="preserve">ASOCIACION HEREDEROS DE JESUS  </t>
  </si>
  <si>
    <t>13/12/2025</t>
  </si>
  <si>
    <t xml:space="preserve">5Â° grado G - San Carlos </t>
  </si>
  <si>
    <t xml:space="preserve">DORIS TELLO CHINGAY </t>
  </si>
  <si>
    <t>14/12/2025</t>
  </si>
  <si>
    <t>MYP CONTRATA &amp; EJECUTA S.A.C.</t>
  </si>
  <si>
    <t>15/12/2025</t>
  </si>
  <si>
    <t>INSTITUCIÃN EDUCATIVA 82662</t>
  </si>
  <si>
    <t>I.E. CARLOS CUETO FERNANDINI- CHADIN</t>
  </si>
  <si>
    <t>ASOCIACION GRACIA DIVINA</t>
  </si>
  <si>
    <t>16/12/2025</t>
  </si>
  <si>
    <t>17/12/2025</t>
  </si>
  <si>
    <t>I.E NÂ° 82664 - BAMBAMARCA</t>
  </si>
  <si>
    <t>CENTRO DE APOYO INTEGRAL Y SOSTENIBLE A LA NIÃEZ - CAISAN</t>
  </si>
  <si>
    <t>18/12/2025</t>
  </si>
  <si>
    <t>CLÃNICA SAN LUCAS</t>
  </si>
  <si>
    <t>MARIA CLEMENCIA DIAZ MAITA</t>
  </si>
  <si>
    <t>FLAVIO SAUCEDO</t>
  </si>
  <si>
    <t>19/12/2025</t>
  </si>
  <si>
    <t>PROGR NAC PARA LA PREVENC Y ERRADIC DE LA VIOLENCIA CONTRA LAS MUJERES E INTEG DEL GRUP FAM-AURORA</t>
  </si>
  <si>
    <t>JEHOVA NISSI - 0567</t>
  </si>
  <si>
    <t>CHINA GEZHOUBA GROUP COMPANY LIMITED SUCURSAL PERU</t>
  </si>
  <si>
    <t>20/12/2025</t>
  </si>
  <si>
    <t>UNIVERSIDAD NACIONAL DE CAJAMARCA</t>
  </si>
  <si>
    <t>21/12/2025</t>
  </si>
  <si>
    <t>22/12/2025</t>
  </si>
  <si>
    <t>INSTITUCION EDUCATIVA VICTOR RAUL HAYA DE  LA TORRE</t>
  </si>
  <si>
    <t>I.E. NÂ° 82661 NUESTRA SEÃORA DE LOURDES</t>
  </si>
  <si>
    <t>MULTISERVICIOS Y CONSTRUCCIONES RENACER S.R.L.</t>
  </si>
  <si>
    <t>23/12/2025</t>
  </si>
  <si>
    <t>24/12/2025</t>
  </si>
  <si>
    <t>EVITELIO  CIEZA CUEVA</t>
  </si>
  <si>
    <t>25/12/2025</t>
  </si>
  <si>
    <t>COMITE DE ANIVERSARIO I.E SAN CARLOS</t>
  </si>
  <si>
    <t>26/12/2025</t>
  </si>
  <si>
    <t>27/12/2025</t>
  </si>
  <si>
    <t>28/12/2025</t>
  </si>
  <si>
    <t xml:space="preserve">Benilda Edilene Benavides ChÃ¡vez </t>
  </si>
  <si>
    <t>29/12/2025</t>
  </si>
  <si>
    <t>30/12/2025</t>
  </si>
  <si>
    <t>31/12/2025</t>
  </si>
  <si>
    <t xml:space="preserve">CONSORCIO SUPERVISOR HUALGAYOC </t>
  </si>
  <si>
    <t>07</t>
  </si>
  <si>
    <t>0016630</t>
  </si>
  <si>
    <t>0016631</t>
  </si>
  <si>
    <t>0016632</t>
  </si>
  <si>
    <t>0016633</t>
  </si>
  <si>
    <t>0016634</t>
  </si>
  <si>
    <t>0016643</t>
  </si>
  <si>
    <t>0016646</t>
  </si>
  <si>
    <t>0016639</t>
  </si>
  <si>
    <t>0016682</t>
  </si>
  <si>
    <t>0016683</t>
  </si>
  <si>
    <t>0016795</t>
  </si>
  <si>
    <t>0016811</t>
  </si>
  <si>
    <t>0016824</t>
  </si>
  <si>
    <t>0016823</t>
  </si>
  <si>
    <t>0016837</t>
  </si>
  <si>
    <t>0016986</t>
  </si>
  <si>
    <t>0001370</t>
  </si>
  <si>
    <t>0001371</t>
  </si>
  <si>
    <t>0001374</t>
  </si>
  <si>
    <t>0017007</t>
  </si>
  <si>
    <t>0016695</t>
  </si>
  <si>
    <t>0016821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</si>
</sst>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84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"0016572"</f>
        <v>0016572</v>
      </c>
      <c r="G8">
        <v>1</v>
      </c>
      <c r="H8" t="str">
        <f>"00000001"</f>
        <v>00000001</v>
      </c>
      <c r="I8" t="s">
        <v>35</v>
      </c>
      <c r="J8"/>
      <c r="K8">
        <v>2.54</v>
      </c>
      <c r="L8">
        <v>0.0</v>
      </c>
      <c r="M8"/>
      <c r="N8"/>
      <c r="O8">
        <v>0.46</v>
      </c>
      <c r="P8">
        <v>0.0</v>
      </c>
      <c r="Q8">
        <v>3.0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"0016573"</f>
        <v>0016573</v>
      </c>
      <c r="G9">
        <v>1</v>
      </c>
      <c r="H9" t="str">
        <f>"00000001"</f>
        <v>00000001</v>
      </c>
      <c r="I9" t="s">
        <v>35</v>
      </c>
      <c r="J9"/>
      <c r="K9">
        <v>5.08</v>
      </c>
      <c r="L9">
        <v>0.0</v>
      </c>
      <c r="M9"/>
      <c r="N9"/>
      <c r="O9">
        <v>0.92</v>
      </c>
      <c r="P9">
        <v>0.0</v>
      </c>
      <c r="Q9">
        <v>6.0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"0016574"</f>
        <v>0016574</v>
      </c>
      <c r="G10">
        <v>1</v>
      </c>
      <c r="H10" t="str">
        <f>"00000001"</f>
        <v>00000001</v>
      </c>
      <c r="I10" t="s">
        <v>35</v>
      </c>
      <c r="J10"/>
      <c r="K10">
        <v>8.47</v>
      </c>
      <c r="L10">
        <v>0.0</v>
      </c>
      <c r="M10"/>
      <c r="N10"/>
      <c r="O10">
        <v>1.53</v>
      </c>
      <c r="P10">
        <v>0.0</v>
      </c>
      <c r="Q10">
        <v>10.0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"0016575"</f>
        <v>0016575</v>
      </c>
      <c r="G11">
        <v>1</v>
      </c>
      <c r="H11" t="str">
        <f>"00000001"</f>
        <v>00000001</v>
      </c>
      <c r="I11" t="s">
        <v>35</v>
      </c>
      <c r="J11"/>
      <c r="K11">
        <v>8.47</v>
      </c>
      <c r="L11">
        <v>0.0</v>
      </c>
      <c r="M11"/>
      <c r="N11"/>
      <c r="O11">
        <v>1.53</v>
      </c>
      <c r="P11">
        <v>0.0</v>
      </c>
      <c r="Q11">
        <v>10.0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"0016576"</f>
        <v>0016576</v>
      </c>
      <c r="G12">
        <v>1</v>
      </c>
      <c r="H12" t="str">
        <f>"00000001"</f>
        <v>00000001</v>
      </c>
      <c r="I12" t="s">
        <v>35</v>
      </c>
      <c r="J12"/>
      <c r="K12">
        <v>6.78</v>
      </c>
      <c r="L12">
        <v>0.0</v>
      </c>
      <c r="M12"/>
      <c r="N12"/>
      <c r="O12">
        <v>1.22</v>
      </c>
      <c r="P12">
        <v>0.0</v>
      </c>
      <c r="Q12">
        <v>8.0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"0016577"</f>
        <v>0016577</v>
      </c>
      <c r="G13">
        <v>1</v>
      </c>
      <c r="H13" t="str">
        <f>"00000001"</f>
        <v>00000001</v>
      </c>
      <c r="I13" t="s">
        <v>35</v>
      </c>
      <c r="J13"/>
      <c r="K13">
        <v>5.08</v>
      </c>
      <c r="L13">
        <v>0.0</v>
      </c>
      <c r="M13"/>
      <c r="N13"/>
      <c r="O13">
        <v>0.92</v>
      </c>
      <c r="P13">
        <v>0.0</v>
      </c>
      <c r="Q13">
        <v>6.0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"0016578"</f>
        <v>0016578</v>
      </c>
      <c r="G14">
        <v>1</v>
      </c>
      <c r="H14" t="str">
        <f>"00000001"</f>
        <v>00000001</v>
      </c>
      <c r="I14" t="s">
        <v>35</v>
      </c>
      <c r="J14"/>
      <c r="K14">
        <v>16.95</v>
      </c>
      <c r="L14">
        <v>0.0</v>
      </c>
      <c r="M14"/>
      <c r="N14"/>
      <c r="O14">
        <v>3.05</v>
      </c>
      <c r="P14">
        <v>0.0</v>
      </c>
      <c r="Q14">
        <v>20.0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"0016579"</f>
        <v>0016579</v>
      </c>
      <c r="G15">
        <v>1</v>
      </c>
      <c r="H15" t="str">
        <f>"00000001"</f>
        <v>00000001</v>
      </c>
      <c r="I15" t="s">
        <v>35</v>
      </c>
      <c r="J15"/>
      <c r="K15">
        <v>33.9</v>
      </c>
      <c r="L15">
        <v>0.0</v>
      </c>
      <c r="M15"/>
      <c r="N15"/>
      <c r="O15">
        <v>6.1</v>
      </c>
      <c r="P15">
        <v>0.0</v>
      </c>
      <c r="Q15">
        <v>40.0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"0016580"</f>
        <v>0016580</v>
      </c>
      <c r="G16">
        <v>1</v>
      </c>
      <c r="H16" t="str">
        <f>"00000001"</f>
        <v>00000001</v>
      </c>
      <c r="I16" t="s">
        <v>35</v>
      </c>
      <c r="J16"/>
      <c r="K16">
        <v>122.03</v>
      </c>
      <c r="L16">
        <v>0.0</v>
      </c>
      <c r="M16"/>
      <c r="N16"/>
      <c r="O16">
        <v>21.97</v>
      </c>
      <c r="P16">
        <v>0.0</v>
      </c>
      <c r="Q16">
        <v>144.0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"0016581"</f>
        <v>0016581</v>
      </c>
      <c r="G17">
        <v>1</v>
      </c>
      <c r="H17" t="str">
        <f>"00000001"</f>
        <v>00000001</v>
      </c>
      <c r="I17" t="s">
        <v>35</v>
      </c>
      <c r="J17"/>
      <c r="K17">
        <v>9.32</v>
      </c>
      <c r="L17">
        <v>0.0</v>
      </c>
      <c r="M17"/>
      <c r="N17"/>
      <c r="O17">
        <v>1.68</v>
      </c>
      <c r="P17">
        <v>0.0</v>
      </c>
      <c r="Q17">
        <v>11.0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"0016582"</f>
        <v>0016582</v>
      </c>
      <c r="G18">
        <v>1</v>
      </c>
      <c r="H18" t="str">
        <f>"00000001"</f>
        <v>00000001</v>
      </c>
      <c r="I18" t="s">
        <v>35</v>
      </c>
      <c r="J18"/>
      <c r="K18">
        <v>27.12</v>
      </c>
      <c r="L18">
        <v>0.0</v>
      </c>
      <c r="M18"/>
      <c r="N18"/>
      <c r="O18">
        <v>4.88</v>
      </c>
      <c r="P18">
        <v>0.0</v>
      </c>
      <c r="Q18">
        <v>32.0</v>
      </c>
      <c r="R18"/>
      <c r="S18"/>
      <c r="T18"/>
      <c r="U18"/>
      <c r="V18"/>
      <c r="W18">
        <v>18</v>
      </c>
    </row>
    <row r="19" spans="1:23">
      <c r="A19"/>
      <c r="B19" t="s">
        <v>32</v>
      </c>
      <c r="C19" t="s">
        <v>32</v>
      </c>
      <c r="D19" t="s">
        <v>33</v>
      </c>
      <c r="E19" t="s">
        <v>34</v>
      </c>
      <c r="F19" t="str">
        <f>"0016583"</f>
        <v>0016583</v>
      </c>
      <c r="G19">
        <v>1</v>
      </c>
      <c r="H19" t="str">
        <f>"00000001"</f>
        <v>00000001</v>
      </c>
      <c r="I19" t="s">
        <v>35</v>
      </c>
      <c r="J19"/>
      <c r="K19">
        <v>13.56</v>
      </c>
      <c r="L19">
        <v>0.0</v>
      </c>
      <c r="M19"/>
      <c r="N19"/>
      <c r="O19">
        <v>2.44</v>
      </c>
      <c r="P19">
        <v>0.0</v>
      </c>
      <c r="Q19">
        <v>16.0</v>
      </c>
      <c r="R19"/>
      <c r="S19"/>
      <c r="T19"/>
      <c r="U19"/>
      <c r="V19"/>
      <c r="W19">
        <v>18</v>
      </c>
    </row>
    <row r="20" spans="1:23">
      <c r="A20"/>
      <c r="B20" t="s">
        <v>32</v>
      </c>
      <c r="C20" t="s">
        <v>32</v>
      </c>
      <c r="D20" t="s">
        <v>36</v>
      </c>
      <c r="E20" t="s">
        <v>37</v>
      </c>
      <c r="F20" t="str">
        <f>"0001359"</f>
        <v>0001359</v>
      </c>
      <c r="G20">
        <v>6</v>
      </c>
      <c r="H20" t="str">
        <f>"20604022941"</f>
        <v>20604022941</v>
      </c>
      <c r="I20" t="s">
        <v>38</v>
      </c>
      <c r="J20"/>
      <c r="K20">
        <v>256.99</v>
      </c>
      <c r="L20">
        <v>0.0</v>
      </c>
      <c r="M20"/>
      <c r="N20"/>
      <c r="O20">
        <v>46.26</v>
      </c>
      <c r="P20">
        <v>0.0</v>
      </c>
      <c r="Q20">
        <v>303.25</v>
      </c>
      <c r="R20"/>
      <c r="S20"/>
      <c r="T20"/>
      <c r="U20"/>
      <c r="V20"/>
      <c r="W20">
        <v>18</v>
      </c>
    </row>
    <row r="21" spans="1:23">
      <c r="A21"/>
      <c r="B21" t="s">
        <v>32</v>
      </c>
      <c r="C21" t="s">
        <v>32</v>
      </c>
      <c r="D21" t="s">
        <v>33</v>
      </c>
      <c r="E21" t="s">
        <v>34</v>
      </c>
      <c r="F21" t="str">
        <f>"0016584"</f>
        <v>0016584</v>
      </c>
      <c r="G21">
        <v>1</v>
      </c>
      <c r="H21" t="str">
        <f>"00000001"</f>
        <v>00000001</v>
      </c>
      <c r="I21" t="s">
        <v>35</v>
      </c>
      <c r="J21"/>
      <c r="K21">
        <v>3.39</v>
      </c>
      <c r="L21">
        <v>0.0</v>
      </c>
      <c r="M21"/>
      <c r="N21"/>
      <c r="O21">
        <v>0.61</v>
      </c>
      <c r="P21">
        <v>0.0</v>
      </c>
      <c r="Q21">
        <v>4.0</v>
      </c>
      <c r="R21"/>
      <c r="S21"/>
      <c r="T21"/>
      <c r="U21"/>
      <c r="V21"/>
      <c r="W21">
        <v>18</v>
      </c>
    </row>
    <row r="22" spans="1:23">
      <c r="A22"/>
      <c r="B22" t="s">
        <v>32</v>
      </c>
      <c r="C22" t="s">
        <v>32</v>
      </c>
      <c r="D22" t="s">
        <v>33</v>
      </c>
      <c r="E22" t="s">
        <v>34</v>
      </c>
      <c r="F22" t="str">
        <f>"0016585"</f>
        <v>0016585</v>
      </c>
      <c r="G22">
        <v>1</v>
      </c>
      <c r="H22" t="str">
        <f>"82101300"</f>
        <v>82101300</v>
      </c>
      <c r="I22" t="s">
        <v>39</v>
      </c>
      <c r="J22"/>
      <c r="K22">
        <v>13.98</v>
      </c>
      <c r="L22">
        <v>0.0</v>
      </c>
      <c r="M22"/>
      <c r="N22"/>
      <c r="O22">
        <v>2.52</v>
      </c>
      <c r="P22">
        <v>0.0</v>
      </c>
      <c r="Q22">
        <v>16.5</v>
      </c>
      <c r="R22"/>
      <c r="S22"/>
      <c r="T22"/>
      <c r="U22"/>
      <c r="V22"/>
      <c r="W22">
        <v>18</v>
      </c>
    </row>
    <row r="23" spans="1:23">
      <c r="A23"/>
      <c r="B23" t="s">
        <v>32</v>
      </c>
      <c r="C23" t="s">
        <v>32</v>
      </c>
      <c r="D23" t="s">
        <v>33</v>
      </c>
      <c r="E23" t="s">
        <v>34</v>
      </c>
      <c r="F23" t="str">
        <f>"0016586"</f>
        <v>0016586</v>
      </c>
      <c r="G23">
        <v>1</v>
      </c>
      <c r="H23" t="str">
        <f>"00000001"</f>
        <v>00000001</v>
      </c>
      <c r="I23" t="s">
        <v>35</v>
      </c>
      <c r="J23"/>
      <c r="K23">
        <v>48.31</v>
      </c>
      <c r="L23">
        <v>0.0</v>
      </c>
      <c r="M23"/>
      <c r="N23"/>
      <c r="O23">
        <v>8.69</v>
      </c>
      <c r="P23">
        <v>0.0</v>
      </c>
      <c r="Q23">
        <v>57.0</v>
      </c>
      <c r="R23"/>
      <c r="S23"/>
      <c r="T23"/>
      <c r="U23"/>
      <c r="V23"/>
      <c r="W23">
        <v>18</v>
      </c>
    </row>
    <row r="24" spans="1:23">
      <c r="A24"/>
      <c r="B24" t="s">
        <v>32</v>
      </c>
      <c r="C24" t="s">
        <v>32</v>
      </c>
      <c r="D24" t="s">
        <v>33</v>
      </c>
      <c r="E24" t="s">
        <v>34</v>
      </c>
      <c r="F24" t="str">
        <f>"0016587"</f>
        <v>0016587</v>
      </c>
      <c r="G24">
        <v>1</v>
      </c>
      <c r="H24" t="str">
        <f>"73755005"</f>
        <v>73755005</v>
      </c>
      <c r="I24" t="s">
        <v>40</v>
      </c>
      <c r="J24"/>
      <c r="K24">
        <v>33.9</v>
      </c>
      <c r="L24">
        <v>0.0</v>
      </c>
      <c r="M24"/>
      <c r="N24"/>
      <c r="O24">
        <v>6.1</v>
      </c>
      <c r="P24">
        <v>0.0</v>
      </c>
      <c r="Q24">
        <v>40.0</v>
      </c>
      <c r="R24"/>
      <c r="S24"/>
      <c r="T24"/>
      <c r="U24"/>
      <c r="V24"/>
      <c r="W24">
        <v>18</v>
      </c>
    </row>
    <row r="25" spans="1:23">
      <c r="A25"/>
      <c r="B25" t="s">
        <v>32</v>
      </c>
      <c r="C25" t="s">
        <v>32</v>
      </c>
      <c r="D25" t="s">
        <v>33</v>
      </c>
      <c r="E25" t="s">
        <v>34</v>
      </c>
      <c r="F25" t="str">
        <f>"0016588"</f>
        <v>0016588</v>
      </c>
      <c r="G25">
        <v>1</v>
      </c>
      <c r="H25" t="str">
        <f>"00000001"</f>
        <v>00000001</v>
      </c>
      <c r="I25" t="s">
        <v>35</v>
      </c>
      <c r="J25"/>
      <c r="K25">
        <v>16.95</v>
      </c>
      <c r="L25">
        <v>0.0</v>
      </c>
      <c r="M25"/>
      <c r="N25"/>
      <c r="O25">
        <v>3.05</v>
      </c>
      <c r="P25">
        <v>0.0</v>
      </c>
      <c r="Q25">
        <v>20.0</v>
      </c>
      <c r="R25"/>
      <c r="S25"/>
      <c r="T25"/>
      <c r="U25"/>
      <c r="V25"/>
      <c r="W25">
        <v>18</v>
      </c>
    </row>
    <row r="26" spans="1:23">
      <c r="A26"/>
      <c r="B26" t="s">
        <v>32</v>
      </c>
      <c r="C26" t="s">
        <v>32</v>
      </c>
      <c r="D26" t="s">
        <v>33</v>
      </c>
      <c r="E26" t="s">
        <v>34</v>
      </c>
      <c r="F26" t="str">
        <f>"0016589"</f>
        <v>0016589</v>
      </c>
      <c r="G26">
        <v>1</v>
      </c>
      <c r="H26" t="str">
        <f>"00000001"</f>
        <v>00000001</v>
      </c>
      <c r="I26" t="s">
        <v>35</v>
      </c>
      <c r="J26"/>
      <c r="K26">
        <v>12.71</v>
      </c>
      <c r="L26">
        <v>0.0</v>
      </c>
      <c r="M26"/>
      <c r="N26"/>
      <c r="O26">
        <v>2.29</v>
      </c>
      <c r="P26">
        <v>0.0</v>
      </c>
      <c r="Q26">
        <v>15.0</v>
      </c>
      <c r="R26"/>
      <c r="S26"/>
      <c r="T26"/>
      <c r="U26"/>
      <c r="V26"/>
      <c r="W26">
        <v>18</v>
      </c>
    </row>
    <row r="27" spans="1:23">
      <c r="A27"/>
      <c r="B27" t="s">
        <v>32</v>
      </c>
      <c r="C27" t="s">
        <v>32</v>
      </c>
      <c r="D27" t="s">
        <v>33</v>
      </c>
      <c r="E27" t="s">
        <v>34</v>
      </c>
      <c r="F27" t="str">
        <f>"0016590"</f>
        <v>0016590</v>
      </c>
      <c r="G27">
        <v>1</v>
      </c>
      <c r="H27" t="str">
        <f>"00000001"</f>
        <v>00000001</v>
      </c>
      <c r="I27" t="s">
        <v>35</v>
      </c>
      <c r="J27"/>
      <c r="K27">
        <v>15.25</v>
      </c>
      <c r="L27">
        <v>0.0</v>
      </c>
      <c r="M27"/>
      <c r="N27"/>
      <c r="O27">
        <v>2.75</v>
      </c>
      <c r="P27">
        <v>0.0</v>
      </c>
      <c r="Q27">
        <v>18.0</v>
      </c>
      <c r="R27"/>
      <c r="S27"/>
      <c r="T27"/>
      <c r="U27"/>
      <c r="V27"/>
      <c r="W27">
        <v>18</v>
      </c>
    </row>
    <row r="28" spans="1:23">
      <c r="A28"/>
      <c r="B28" t="s">
        <v>32</v>
      </c>
      <c r="C28" t="s">
        <v>32</v>
      </c>
      <c r="D28" t="s">
        <v>33</v>
      </c>
      <c r="E28" t="s">
        <v>34</v>
      </c>
      <c r="F28" t="str">
        <f>"0016591"</f>
        <v>0016591</v>
      </c>
      <c r="G28">
        <v>1</v>
      </c>
      <c r="H28" t="str">
        <f>"00000001"</f>
        <v>00000001</v>
      </c>
      <c r="I28" t="s">
        <v>35</v>
      </c>
      <c r="J28"/>
      <c r="K28">
        <v>16.95</v>
      </c>
      <c r="L28">
        <v>0.0</v>
      </c>
      <c r="M28"/>
      <c r="N28"/>
      <c r="O28">
        <v>3.05</v>
      </c>
      <c r="P28">
        <v>0.0</v>
      </c>
      <c r="Q28">
        <v>20.0</v>
      </c>
      <c r="R28"/>
      <c r="S28"/>
      <c r="T28"/>
      <c r="U28"/>
      <c r="V28"/>
      <c r="W28">
        <v>18</v>
      </c>
    </row>
    <row r="29" spans="1:23">
      <c r="A29"/>
      <c r="B29" t="s">
        <v>32</v>
      </c>
      <c r="C29" t="s">
        <v>32</v>
      </c>
      <c r="D29" t="s">
        <v>33</v>
      </c>
      <c r="E29" t="s">
        <v>34</v>
      </c>
      <c r="F29" t="str">
        <f>"0016592"</f>
        <v>0016592</v>
      </c>
      <c r="G29">
        <v>1</v>
      </c>
      <c r="H29" t="str">
        <f>"00000001"</f>
        <v>00000001</v>
      </c>
      <c r="I29" t="s">
        <v>35</v>
      </c>
      <c r="J29"/>
      <c r="K29">
        <v>4.24</v>
      </c>
      <c r="L29">
        <v>0.0</v>
      </c>
      <c r="M29"/>
      <c r="N29"/>
      <c r="O29">
        <v>0.76</v>
      </c>
      <c r="P29">
        <v>0.0</v>
      </c>
      <c r="Q29">
        <v>5.0</v>
      </c>
      <c r="R29"/>
      <c r="S29"/>
      <c r="T29"/>
      <c r="U29"/>
      <c r="V29"/>
      <c r="W29">
        <v>18</v>
      </c>
    </row>
    <row r="30" spans="1:23">
      <c r="A30"/>
      <c r="B30" t="s">
        <v>32</v>
      </c>
      <c r="C30" t="s">
        <v>32</v>
      </c>
      <c r="D30" t="s">
        <v>33</v>
      </c>
      <c r="E30" t="s">
        <v>34</v>
      </c>
      <c r="F30" t="str">
        <f>"0016593"</f>
        <v>0016593</v>
      </c>
      <c r="G30">
        <v>1</v>
      </c>
      <c r="H30" t="str">
        <f>"27569838"</f>
        <v>27569838</v>
      </c>
      <c r="I30" t="s">
        <v>41</v>
      </c>
      <c r="J30"/>
      <c r="K30">
        <v>29.66</v>
      </c>
      <c r="L30">
        <v>0.0</v>
      </c>
      <c r="M30"/>
      <c r="N30"/>
      <c r="O30">
        <v>5.34</v>
      </c>
      <c r="P30">
        <v>0.0</v>
      </c>
      <c r="Q30">
        <v>35.0</v>
      </c>
      <c r="R30"/>
      <c r="S30"/>
      <c r="T30"/>
      <c r="U30"/>
      <c r="V30"/>
      <c r="W30">
        <v>18</v>
      </c>
    </row>
    <row r="31" spans="1:23">
      <c r="A31"/>
      <c r="B31" t="s">
        <v>32</v>
      </c>
      <c r="C31" t="s">
        <v>32</v>
      </c>
      <c r="D31" t="s">
        <v>33</v>
      </c>
      <c r="E31" t="s">
        <v>34</v>
      </c>
      <c r="F31" t="str">
        <f>"0016594"</f>
        <v>0016594</v>
      </c>
      <c r="G31">
        <v>1</v>
      </c>
      <c r="H31" t="str">
        <f>"00000001"</f>
        <v>00000001</v>
      </c>
      <c r="I31" t="s">
        <v>35</v>
      </c>
      <c r="J31"/>
      <c r="K31">
        <v>4.24</v>
      </c>
      <c r="L31">
        <v>0.0</v>
      </c>
      <c r="M31"/>
      <c r="N31"/>
      <c r="O31">
        <v>0.76</v>
      </c>
      <c r="P31">
        <v>0.0</v>
      </c>
      <c r="Q31">
        <v>5.0</v>
      </c>
      <c r="R31"/>
      <c r="S31"/>
      <c r="T31"/>
      <c r="U31"/>
      <c r="V31"/>
      <c r="W31">
        <v>18</v>
      </c>
    </row>
    <row r="32" spans="1:23">
      <c r="A32"/>
      <c r="B32" t="s">
        <v>32</v>
      </c>
      <c r="C32" t="s">
        <v>32</v>
      </c>
      <c r="D32" t="s">
        <v>36</v>
      </c>
      <c r="E32" t="s">
        <v>37</v>
      </c>
      <c r="F32" t="str">
        <f>"0001360"</f>
        <v>0001360</v>
      </c>
      <c r="G32">
        <v>6</v>
      </c>
      <c r="H32" t="str">
        <f>"20101298851"</f>
        <v>20101298851</v>
      </c>
      <c r="I32" t="s">
        <v>42</v>
      </c>
      <c r="J32"/>
      <c r="K32">
        <v>16.95</v>
      </c>
      <c r="L32">
        <v>0.0</v>
      </c>
      <c r="M32"/>
      <c r="N32"/>
      <c r="O32">
        <v>3.05</v>
      </c>
      <c r="P32">
        <v>0.0</v>
      </c>
      <c r="Q32">
        <v>20.0</v>
      </c>
      <c r="R32"/>
      <c r="S32"/>
      <c r="T32"/>
      <c r="U32"/>
      <c r="V32"/>
      <c r="W32">
        <v>18</v>
      </c>
    </row>
    <row r="33" spans="1:23">
      <c r="A33"/>
      <c r="B33" t="s">
        <v>32</v>
      </c>
      <c r="C33" t="s">
        <v>32</v>
      </c>
      <c r="D33" t="s">
        <v>33</v>
      </c>
      <c r="E33" t="s">
        <v>34</v>
      </c>
      <c r="F33" t="str">
        <f>"0016595"</f>
        <v>0016595</v>
      </c>
      <c r="G33">
        <v>1</v>
      </c>
      <c r="H33" t="str">
        <f>"00000001"</f>
        <v>00000001</v>
      </c>
      <c r="I33" t="s">
        <v>35</v>
      </c>
      <c r="J33"/>
      <c r="K33">
        <v>4.24</v>
      </c>
      <c r="L33">
        <v>0.0</v>
      </c>
      <c r="M33"/>
      <c r="N33"/>
      <c r="O33">
        <v>0.76</v>
      </c>
      <c r="P33">
        <v>0.0</v>
      </c>
      <c r="Q33">
        <v>5.0</v>
      </c>
      <c r="R33"/>
      <c r="S33"/>
      <c r="T33"/>
      <c r="U33"/>
      <c r="V33"/>
      <c r="W33">
        <v>18</v>
      </c>
    </row>
    <row r="34" spans="1:23">
      <c r="A34"/>
      <c r="B34" t="s">
        <v>32</v>
      </c>
      <c r="C34" t="s">
        <v>32</v>
      </c>
      <c r="D34" t="s">
        <v>33</v>
      </c>
      <c r="E34" t="s">
        <v>34</v>
      </c>
      <c r="F34" t="str">
        <f>"0016596"</f>
        <v>0016596</v>
      </c>
      <c r="G34">
        <v>1</v>
      </c>
      <c r="H34" t="str">
        <f>"00000001"</f>
        <v>00000001</v>
      </c>
      <c r="I34" t="s">
        <v>35</v>
      </c>
      <c r="J34"/>
      <c r="K34">
        <v>21.19</v>
      </c>
      <c r="L34">
        <v>0.0</v>
      </c>
      <c r="M34"/>
      <c r="N34"/>
      <c r="O34">
        <v>3.81</v>
      </c>
      <c r="P34">
        <v>0.0</v>
      </c>
      <c r="Q34">
        <v>25.0</v>
      </c>
      <c r="R34"/>
      <c r="S34"/>
      <c r="T34"/>
      <c r="U34"/>
      <c r="V34"/>
      <c r="W34">
        <v>18</v>
      </c>
    </row>
    <row r="35" spans="1:23">
      <c r="A35"/>
      <c r="B35" t="s">
        <v>32</v>
      </c>
      <c r="C35" t="s">
        <v>32</v>
      </c>
      <c r="D35" t="s">
        <v>33</v>
      </c>
      <c r="E35" t="s">
        <v>34</v>
      </c>
      <c r="F35" t="str">
        <f>"0016597"</f>
        <v>0016597</v>
      </c>
      <c r="G35">
        <v>1</v>
      </c>
      <c r="H35" t="str">
        <f>"00000001"</f>
        <v>00000001</v>
      </c>
      <c r="I35" t="s">
        <v>35</v>
      </c>
      <c r="J35"/>
      <c r="K35">
        <v>16.95</v>
      </c>
      <c r="L35">
        <v>0.0</v>
      </c>
      <c r="M35"/>
      <c r="N35"/>
      <c r="O35">
        <v>3.05</v>
      </c>
      <c r="P35">
        <v>0.0</v>
      </c>
      <c r="Q35">
        <v>20.0</v>
      </c>
      <c r="R35"/>
      <c r="S35"/>
      <c r="T35"/>
      <c r="U35"/>
      <c r="V35"/>
      <c r="W35">
        <v>18</v>
      </c>
    </row>
    <row r="36" spans="1:23">
      <c r="A36"/>
      <c r="B36" t="s">
        <v>32</v>
      </c>
      <c r="C36" t="s">
        <v>32</v>
      </c>
      <c r="D36" t="s">
        <v>33</v>
      </c>
      <c r="E36" t="s">
        <v>34</v>
      </c>
      <c r="F36" t="str">
        <f>"0016598"</f>
        <v>0016598</v>
      </c>
      <c r="G36">
        <v>1</v>
      </c>
      <c r="H36" t="str">
        <f>"00000001"</f>
        <v>00000001</v>
      </c>
      <c r="I36" t="s">
        <v>35</v>
      </c>
      <c r="J36"/>
      <c r="K36">
        <v>116.95</v>
      </c>
      <c r="L36">
        <v>0.0</v>
      </c>
      <c r="M36"/>
      <c r="N36"/>
      <c r="O36">
        <v>21.05</v>
      </c>
      <c r="P36">
        <v>0.0</v>
      </c>
      <c r="Q36">
        <v>138.0</v>
      </c>
      <c r="R36"/>
      <c r="S36"/>
      <c r="T36"/>
      <c r="U36"/>
      <c r="V36"/>
      <c r="W36">
        <v>18</v>
      </c>
    </row>
    <row r="37" spans="1:23">
      <c r="A37"/>
      <c r="B37" t="s">
        <v>43</v>
      </c>
      <c r="C37" t="s">
        <v>43</v>
      </c>
      <c r="D37" t="s">
        <v>33</v>
      </c>
      <c r="E37" t="s">
        <v>34</v>
      </c>
      <c r="F37" t="str">
        <f>"0016599"</f>
        <v>0016599</v>
      </c>
      <c r="G37">
        <v>1</v>
      </c>
      <c r="H37" t="str">
        <f>"00000001"</f>
        <v>00000001</v>
      </c>
      <c r="I37" t="s">
        <v>35</v>
      </c>
      <c r="J37"/>
      <c r="K37">
        <v>4.24</v>
      </c>
      <c r="L37">
        <v>0.0</v>
      </c>
      <c r="M37"/>
      <c r="N37"/>
      <c r="O37">
        <v>0.76</v>
      </c>
      <c r="P37">
        <v>0.0</v>
      </c>
      <c r="Q37">
        <v>5.0</v>
      </c>
      <c r="R37"/>
      <c r="S37"/>
      <c r="T37"/>
      <c r="U37"/>
      <c r="V37"/>
      <c r="W37">
        <v>18</v>
      </c>
    </row>
    <row r="38" spans="1:23">
      <c r="A38"/>
      <c r="B38" t="s">
        <v>43</v>
      </c>
      <c r="C38" t="s">
        <v>43</v>
      </c>
      <c r="D38" t="s">
        <v>33</v>
      </c>
      <c r="E38" t="s">
        <v>34</v>
      </c>
      <c r="F38" t="str">
        <f>"0016600"</f>
        <v>0016600</v>
      </c>
      <c r="G38">
        <v>1</v>
      </c>
      <c r="H38" t="str">
        <f>"00000001"</f>
        <v>00000001</v>
      </c>
      <c r="I38" t="s">
        <v>35</v>
      </c>
      <c r="J38"/>
      <c r="K38">
        <v>6.78</v>
      </c>
      <c r="L38">
        <v>0.0</v>
      </c>
      <c r="M38"/>
      <c r="N38"/>
      <c r="O38">
        <v>1.22</v>
      </c>
      <c r="P38">
        <v>0.0</v>
      </c>
      <c r="Q38">
        <v>8.0</v>
      </c>
      <c r="R38"/>
      <c r="S38"/>
      <c r="T38"/>
      <c r="U38"/>
      <c r="V38"/>
      <c r="W38">
        <v>18</v>
      </c>
    </row>
    <row r="39" spans="1:23">
      <c r="A39"/>
      <c r="B39" t="s">
        <v>43</v>
      </c>
      <c r="C39" t="s">
        <v>43</v>
      </c>
      <c r="D39" t="s">
        <v>33</v>
      </c>
      <c r="E39" t="s">
        <v>34</v>
      </c>
      <c r="F39" t="str">
        <f>"0016601"</f>
        <v>0016601</v>
      </c>
      <c r="G39">
        <v>1</v>
      </c>
      <c r="H39" t="str">
        <f>"00000001"</f>
        <v>00000001</v>
      </c>
      <c r="I39" t="s">
        <v>35</v>
      </c>
      <c r="J39"/>
      <c r="K39">
        <v>9.32</v>
      </c>
      <c r="L39">
        <v>0.0</v>
      </c>
      <c r="M39"/>
      <c r="N39"/>
      <c r="O39">
        <v>1.68</v>
      </c>
      <c r="P39">
        <v>0.0</v>
      </c>
      <c r="Q39">
        <v>11.0</v>
      </c>
      <c r="R39"/>
      <c r="S39"/>
      <c r="T39"/>
      <c r="U39"/>
      <c r="V39"/>
      <c r="W39">
        <v>18</v>
      </c>
    </row>
    <row r="40" spans="1:23">
      <c r="A40"/>
      <c r="B40" t="s">
        <v>43</v>
      </c>
      <c r="C40" t="s">
        <v>43</v>
      </c>
      <c r="D40" t="s">
        <v>33</v>
      </c>
      <c r="E40" t="s">
        <v>34</v>
      </c>
      <c r="F40" t="str">
        <f>"0016602"</f>
        <v>0016602</v>
      </c>
      <c r="G40">
        <v>1</v>
      </c>
      <c r="H40" t="str">
        <f>"00000001"</f>
        <v>00000001</v>
      </c>
      <c r="I40" t="s">
        <v>35</v>
      </c>
      <c r="J40"/>
      <c r="K40">
        <v>25.85</v>
      </c>
      <c r="L40">
        <v>0.0</v>
      </c>
      <c r="M40"/>
      <c r="N40"/>
      <c r="O40">
        <v>4.65</v>
      </c>
      <c r="P40">
        <v>0.0</v>
      </c>
      <c r="Q40">
        <v>30.5</v>
      </c>
      <c r="R40"/>
      <c r="S40"/>
      <c r="T40"/>
      <c r="U40"/>
      <c r="V40"/>
      <c r="W40">
        <v>18</v>
      </c>
    </row>
    <row r="41" spans="1:23">
      <c r="A41"/>
      <c r="B41" t="s">
        <v>43</v>
      </c>
      <c r="C41" t="s">
        <v>43</v>
      </c>
      <c r="D41" t="s">
        <v>33</v>
      </c>
      <c r="E41" t="s">
        <v>34</v>
      </c>
      <c r="F41" t="str">
        <f>"0016603"</f>
        <v>0016603</v>
      </c>
      <c r="G41">
        <v>1</v>
      </c>
      <c r="H41" t="str">
        <f>"00000001"</f>
        <v>00000001</v>
      </c>
      <c r="I41" t="s">
        <v>35</v>
      </c>
      <c r="J41"/>
      <c r="K41">
        <v>2.54</v>
      </c>
      <c r="L41">
        <v>0.0</v>
      </c>
      <c r="M41"/>
      <c r="N41"/>
      <c r="O41">
        <v>0.46</v>
      </c>
      <c r="P41">
        <v>0.0</v>
      </c>
      <c r="Q41">
        <v>3.0</v>
      </c>
      <c r="R41"/>
      <c r="S41"/>
      <c r="T41"/>
      <c r="U41"/>
      <c r="V41"/>
      <c r="W41">
        <v>18</v>
      </c>
    </row>
    <row r="42" spans="1:23">
      <c r="A42"/>
      <c r="B42" t="s">
        <v>43</v>
      </c>
      <c r="C42" t="s">
        <v>43</v>
      </c>
      <c r="D42" t="s">
        <v>33</v>
      </c>
      <c r="E42" t="s">
        <v>34</v>
      </c>
      <c r="F42" t="str">
        <f>"0016604"</f>
        <v>0016604</v>
      </c>
      <c r="G42">
        <v>1</v>
      </c>
      <c r="H42" t="str">
        <f>"00000001"</f>
        <v>00000001</v>
      </c>
      <c r="I42" t="s">
        <v>35</v>
      </c>
      <c r="J42"/>
      <c r="K42">
        <v>8.47</v>
      </c>
      <c r="L42">
        <v>0.0</v>
      </c>
      <c r="M42"/>
      <c r="N42"/>
      <c r="O42">
        <v>1.53</v>
      </c>
      <c r="P42">
        <v>0.0</v>
      </c>
      <c r="Q42">
        <v>10.0</v>
      </c>
      <c r="R42"/>
      <c r="S42"/>
      <c r="T42"/>
      <c r="U42"/>
      <c r="V42"/>
      <c r="W42">
        <v>18</v>
      </c>
    </row>
    <row r="43" spans="1:23">
      <c r="A43"/>
      <c r="B43" t="s">
        <v>43</v>
      </c>
      <c r="C43" t="s">
        <v>43</v>
      </c>
      <c r="D43" t="s">
        <v>33</v>
      </c>
      <c r="E43" t="s">
        <v>34</v>
      </c>
      <c r="F43" t="str">
        <f>"0016605"</f>
        <v>0016605</v>
      </c>
      <c r="G43">
        <v>1</v>
      </c>
      <c r="H43" t="str">
        <f>"74428471"</f>
        <v>74428471</v>
      </c>
      <c r="I43" t="s">
        <v>44</v>
      </c>
      <c r="J43"/>
      <c r="K43">
        <v>10.17</v>
      </c>
      <c r="L43">
        <v>0.0</v>
      </c>
      <c r="M43"/>
      <c r="N43"/>
      <c r="O43">
        <v>1.83</v>
      </c>
      <c r="P43">
        <v>0.0</v>
      </c>
      <c r="Q43">
        <v>12.0</v>
      </c>
      <c r="R43"/>
      <c r="S43"/>
      <c r="T43"/>
      <c r="U43"/>
      <c r="V43"/>
      <c r="W43">
        <v>18</v>
      </c>
    </row>
    <row r="44" spans="1:23">
      <c r="A44"/>
      <c r="B44" t="s">
        <v>43</v>
      </c>
      <c r="C44" t="s">
        <v>43</v>
      </c>
      <c r="D44" t="s">
        <v>33</v>
      </c>
      <c r="E44" t="s">
        <v>34</v>
      </c>
      <c r="F44" t="str">
        <f>"0016606"</f>
        <v>0016606</v>
      </c>
      <c r="G44">
        <v>1</v>
      </c>
      <c r="H44" t="str">
        <f>"61085272"</f>
        <v>61085272</v>
      </c>
      <c r="I44" t="s">
        <v>45</v>
      </c>
      <c r="J44"/>
      <c r="K44">
        <v>10.17</v>
      </c>
      <c r="L44">
        <v>0.0</v>
      </c>
      <c r="M44"/>
      <c r="N44"/>
      <c r="O44">
        <v>1.83</v>
      </c>
      <c r="P44">
        <v>0.0</v>
      </c>
      <c r="Q44">
        <v>12.0</v>
      </c>
      <c r="R44"/>
      <c r="S44"/>
      <c r="T44"/>
      <c r="U44"/>
      <c r="V44"/>
      <c r="W44">
        <v>18</v>
      </c>
    </row>
    <row r="45" spans="1:23">
      <c r="A45"/>
      <c r="B45" t="s">
        <v>43</v>
      </c>
      <c r="C45" t="s">
        <v>43</v>
      </c>
      <c r="D45" t="s">
        <v>33</v>
      </c>
      <c r="E45" t="s">
        <v>34</v>
      </c>
      <c r="F45" t="str">
        <f>"0016607"</f>
        <v>0016607</v>
      </c>
      <c r="G45">
        <v>1</v>
      </c>
      <c r="H45" t="str">
        <f>"72425642"</f>
        <v>72425642</v>
      </c>
      <c r="I45" t="s">
        <v>46</v>
      </c>
      <c r="J45"/>
      <c r="K45">
        <v>10.17</v>
      </c>
      <c r="L45">
        <v>0.0</v>
      </c>
      <c r="M45"/>
      <c r="N45"/>
      <c r="O45">
        <v>1.83</v>
      </c>
      <c r="P45">
        <v>0.0</v>
      </c>
      <c r="Q45">
        <v>12.0</v>
      </c>
      <c r="R45"/>
      <c r="S45"/>
      <c r="T45"/>
      <c r="U45"/>
      <c r="V45"/>
      <c r="W45">
        <v>18</v>
      </c>
    </row>
    <row r="46" spans="1:23">
      <c r="A46"/>
      <c r="B46" t="s">
        <v>43</v>
      </c>
      <c r="C46" t="s">
        <v>43</v>
      </c>
      <c r="D46" t="s">
        <v>33</v>
      </c>
      <c r="E46" t="s">
        <v>34</v>
      </c>
      <c r="F46" t="str">
        <f>"0016608"</f>
        <v>0016608</v>
      </c>
      <c r="G46">
        <v>1</v>
      </c>
      <c r="H46" t="str">
        <f>"00000001"</f>
        <v>00000001</v>
      </c>
      <c r="I46" t="s">
        <v>35</v>
      </c>
      <c r="J46"/>
      <c r="K46">
        <v>37.71</v>
      </c>
      <c r="L46">
        <v>0.0</v>
      </c>
      <c r="M46"/>
      <c r="N46"/>
      <c r="O46">
        <v>6.79</v>
      </c>
      <c r="P46">
        <v>0.0</v>
      </c>
      <c r="Q46">
        <v>44.5</v>
      </c>
      <c r="R46"/>
      <c r="S46"/>
      <c r="T46"/>
      <c r="U46"/>
      <c r="V46"/>
      <c r="W46">
        <v>18</v>
      </c>
    </row>
    <row r="47" spans="1:23">
      <c r="A47"/>
      <c r="B47" t="s">
        <v>43</v>
      </c>
      <c r="C47" t="s">
        <v>43</v>
      </c>
      <c r="D47" t="s">
        <v>33</v>
      </c>
      <c r="E47" t="s">
        <v>34</v>
      </c>
      <c r="F47" t="str">
        <f>"0016609"</f>
        <v>0016609</v>
      </c>
      <c r="G47">
        <v>1</v>
      </c>
      <c r="H47" t="str">
        <f>"00000001"</f>
        <v>00000001</v>
      </c>
      <c r="I47" t="s">
        <v>35</v>
      </c>
      <c r="J47"/>
      <c r="K47">
        <v>8.47</v>
      </c>
      <c r="L47">
        <v>0.0</v>
      </c>
      <c r="M47"/>
      <c r="N47"/>
      <c r="O47">
        <v>1.53</v>
      </c>
      <c r="P47">
        <v>0.0</v>
      </c>
      <c r="Q47">
        <v>10.0</v>
      </c>
      <c r="R47"/>
      <c r="S47"/>
      <c r="T47"/>
      <c r="U47"/>
      <c r="V47"/>
      <c r="W47">
        <v>18</v>
      </c>
    </row>
    <row r="48" spans="1:23">
      <c r="A48"/>
      <c r="B48" t="s">
        <v>43</v>
      </c>
      <c r="C48" t="s">
        <v>43</v>
      </c>
      <c r="D48" t="s">
        <v>36</v>
      </c>
      <c r="E48" t="s">
        <v>37</v>
      </c>
      <c r="F48" t="str">
        <f>"0001361"</f>
        <v>0001361</v>
      </c>
      <c r="G48">
        <v>6</v>
      </c>
      <c r="H48" t="str">
        <f>"20141189850"</f>
        <v>20141189850</v>
      </c>
      <c r="I48" t="s">
        <v>47</v>
      </c>
      <c r="J48"/>
      <c r="K48">
        <v>8.47</v>
      </c>
      <c r="L48">
        <v>0.0</v>
      </c>
      <c r="M48"/>
      <c r="N48"/>
      <c r="O48">
        <v>1.53</v>
      </c>
      <c r="P48">
        <v>0.0</v>
      </c>
      <c r="Q48">
        <v>10.0</v>
      </c>
      <c r="R48"/>
      <c r="S48"/>
      <c r="T48"/>
      <c r="U48"/>
      <c r="V48"/>
      <c r="W48">
        <v>18</v>
      </c>
    </row>
    <row r="49" spans="1:23">
      <c r="A49"/>
      <c r="B49" t="s">
        <v>43</v>
      </c>
      <c r="C49" t="s">
        <v>43</v>
      </c>
      <c r="D49" t="s">
        <v>36</v>
      </c>
      <c r="E49" t="s">
        <v>37</v>
      </c>
      <c r="F49" t="str">
        <f>"0001362"</f>
        <v>0001362</v>
      </c>
      <c r="G49">
        <v>6</v>
      </c>
      <c r="H49" t="str">
        <f>"10454679534"</f>
        <v>10454679534</v>
      </c>
      <c r="I49" t="s">
        <v>48</v>
      </c>
      <c r="J49"/>
      <c r="K49">
        <v>15.25</v>
      </c>
      <c r="L49">
        <v>0.0</v>
      </c>
      <c r="M49"/>
      <c r="N49"/>
      <c r="O49">
        <v>2.75</v>
      </c>
      <c r="P49">
        <v>0.0</v>
      </c>
      <c r="Q49">
        <v>18.0</v>
      </c>
      <c r="R49"/>
      <c r="S49"/>
      <c r="T49"/>
      <c r="U49"/>
      <c r="V49"/>
      <c r="W49">
        <v>18</v>
      </c>
    </row>
    <row r="50" spans="1:23">
      <c r="A50"/>
      <c r="B50" t="s">
        <v>43</v>
      </c>
      <c r="C50" t="s">
        <v>43</v>
      </c>
      <c r="D50" t="s">
        <v>33</v>
      </c>
      <c r="E50" t="s">
        <v>34</v>
      </c>
      <c r="F50" t="str">
        <f>"0016610"</f>
        <v>0016610</v>
      </c>
      <c r="G50">
        <v>1</v>
      </c>
      <c r="H50" t="str">
        <f>"75074736"</f>
        <v>75074736</v>
      </c>
      <c r="I50" t="s">
        <v>49</v>
      </c>
      <c r="J50"/>
      <c r="K50">
        <v>10.17</v>
      </c>
      <c r="L50">
        <v>0.0</v>
      </c>
      <c r="M50"/>
      <c r="N50"/>
      <c r="O50">
        <v>1.83</v>
      </c>
      <c r="P50">
        <v>0.0</v>
      </c>
      <c r="Q50">
        <v>12.0</v>
      </c>
      <c r="R50"/>
      <c r="S50"/>
      <c r="T50"/>
      <c r="U50"/>
      <c r="V50"/>
      <c r="W50">
        <v>18</v>
      </c>
    </row>
    <row r="51" spans="1:23">
      <c r="A51"/>
      <c r="B51" t="s">
        <v>43</v>
      </c>
      <c r="C51" t="s">
        <v>43</v>
      </c>
      <c r="D51" t="s">
        <v>33</v>
      </c>
      <c r="E51" t="s">
        <v>34</v>
      </c>
      <c r="F51" t="str">
        <f>"0016611"</f>
        <v>0016611</v>
      </c>
      <c r="G51">
        <v>1</v>
      </c>
      <c r="H51" t="str">
        <f>"60196996"</f>
        <v>60196996</v>
      </c>
      <c r="I51" t="s">
        <v>50</v>
      </c>
      <c r="J51"/>
      <c r="K51">
        <v>7.63</v>
      </c>
      <c r="L51">
        <v>0.0</v>
      </c>
      <c r="M51"/>
      <c r="N51"/>
      <c r="O51">
        <v>1.37</v>
      </c>
      <c r="P51">
        <v>0.0</v>
      </c>
      <c r="Q51">
        <v>9.0</v>
      </c>
      <c r="R51"/>
      <c r="S51"/>
      <c r="T51"/>
      <c r="U51"/>
      <c r="V51"/>
      <c r="W51">
        <v>18</v>
      </c>
    </row>
    <row r="52" spans="1:23">
      <c r="A52"/>
      <c r="B52" t="s">
        <v>43</v>
      </c>
      <c r="C52" t="s">
        <v>43</v>
      </c>
      <c r="D52" t="s">
        <v>36</v>
      </c>
      <c r="E52" t="s">
        <v>37</v>
      </c>
      <c r="F52" t="str">
        <f>"0001363"</f>
        <v>0001363</v>
      </c>
      <c r="G52">
        <v>6</v>
      </c>
      <c r="H52" t="str">
        <f>"20382036655"</f>
        <v>20382036655</v>
      </c>
      <c r="I52" t="s">
        <v>51</v>
      </c>
      <c r="J52"/>
      <c r="K52">
        <v>23.73</v>
      </c>
      <c r="L52">
        <v>0.0</v>
      </c>
      <c r="M52"/>
      <c r="N52"/>
      <c r="O52">
        <v>4.27</v>
      </c>
      <c r="P52">
        <v>0.0</v>
      </c>
      <c r="Q52">
        <v>28.0</v>
      </c>
      <c r="R52"/>
      <c r="S52"/>
      <c r="T52"/>
      <c r="U52"/>
      <c r="V52"/>
      <c r="W52">
        <v>18</v>
      </c>
    </row>
    <row r="53" spans="1:23">
      <c r="A53"/>
      <c r="B53" t="s">
        <v>43</v>
      </c>
      <c r="C53" t="s">
        <v>43</v>
      </c>
      <c r="D53" t="s">
        <v>33</v>
      </c>
      <c r="E53" t="s">
        <v>34</v>
      </c>
      <c r="F53" t="str">
        <f>"0016612"</f>
        <v>0016612</v>
      </c>
      <c r="G53">
        <v>1</v>
      </c>
      <c r="H53" t="str">
        <f>"00000001"</f>
        <v>00000001</v>
      </c>
      <c r="I53" t="s">
        <v>35</v>
      </c>
      <c r="J53"/>
      <c r="K53">
        <v>6.78</v>
      </c>
      <c r="L53">
        <v>0.0</v>
      </c>
      <c r="M53"/>
      <c r="N53"/>
      <c r="O53">
        <v>1.22</v>
      </c>
      <c r="P53">
        <v>0.0</v>
      </c>
      <c r="Q53">
        <v>8.0</v>
      </c>
      <c r="R53"/>
      <c r="S53"/>
      <c r="T53"/>
      <c r="U53"/>
      <c r="V53"/>
      <c r="W53">
        <v>18</v>
      </c>
    </row>
    <row r="54" spans="1:23">
      <c r="A54"/>
      <c r="B54" t="s">
        <v>43</v>
      </c>
      <c r="C54" t="s">
        <v>43</v>
      </c>
      <c r="D54" t="s">
        <v>33</v>
      </c>
      <c r="E54" t="s">
        <v>34</v>
      </c>
      <c r="F54" t="str">
        <f>"0016613"</f>
        <v>0016613</v>
      </c>
      <c r="G54">
        <v>1</v>
      </c>
      <c r="H54" t="str">
        <f>"00000001"</f>
        <v>00000001</v>
      </c>
      <c r="I54" t="s">
        <v>35</v>
      </c>
      <c r="J54"/>
      <c r="K54">
        <v>9.75</v>
      </c>
      <c r="L54">
        <v>0.0</v>
      </c>
      <c r="M54"/>
      <c r="N54"/>
      <c r="O54">
        <v>1.75</v>
      </c>
      <c r="P54">
        <v>0.0</v>
      </c>
      <c r="Q54">
        <v>11.5</v>
      </c>
      <c r="R54"/>
      <c r="S54"/>
      <c r="T54"/>
      <c r="U54"/>
      <c r="V54"/>
      <c r="W54">
        <v>18</v>
      </c>
    </row>
    <row r="55" spans="1:23">
      <c r="A55"/>
      <c r="B55" t="s">
        <v>43</v>
      </c>
      <c r="C55" t="s">
        <v>43</v>
      </c>
      <c r="D55" t="s">
        <v>33</v>
      </c>
      <c r="E55" t="s">
        <v>34</v>
      </c>
      <c r="F55" t="str">
        <f>"0016614"</f>
        <v>0016614</v>
      </c>
      <c r="G55">
        <v>1</v>
      </c>
      <c r="H55" t="str">
        <f>"00082691"</f>
        <v>00082691</v>
      </c>
      <c r="I55" t="s">
        <v>52</v>
      </c>
      <c r="J55"/>
      <c r="K55">
        <v>49.15</v>
      </c>
      <c r="L55">
        <v>0.0</v>
      </c>
      <c r="M55"/>
      <c r="N55"/>
      <c r="O55">
        <v>8.85</v>
      </c>
      <c r="P55">
        <v>0.0</v>
      </c>
      <c r="Q55">
        <v>58.0</v>
      </c>
      <c r="R55"/>
      <c r="S55"/>
      <c r="T55"/>
      <c r="U55"/>
      <c r="V55"/>
      <c r="W55">
        <v>18</v>
      </c>
    </row>
    <row r="56" spans="1:23">
      <c r="A56"/>
      <c r="B56" t="s">
        <v>43</v>
      </c>
      <c r="C56" t="s">
        <v>43</v>
      </c>
      <c r="D56" t="s">
        <v>33</v>
      </c>
      <c r="E56" t="s">
        <v>34</v>
      </c>
      <c r="F56" t="str">
        <f>"0016615"</f>
        <v>0016615</v>
      </c>
      <c r="G56">
        <v>1</v>
      </c>
      <c r="H56" t="str">
        <f>"00000001"</f>
        <v>00000001</v>
      </c>
      <c r="I56" t="s">
        <v>35</v>
      </c>
      <c r="J56"/>
      <c r="K56">
        <v>5.08</v>
      </c>
      <c r="L56">
        <v>0.0</v>
      </c>
      <c r="M56"/>
      <c r="N56"/>
      <c r="O56">
        <v>0.92</v>
      </c>
      <c r="P56">
        <v>0.0</v>
      </c>
      <c r="Q56">
        <v>6.0</v>
      </c>
      <c r="R56"/>
      <c r="S56"/>
      <c r="T56"/>
      <c r="U56"/>
      <c r="V56"/>
      <c r="W56">
        <v>18</v>
      </c>
    </row>
    <row r="57" spans="1:23">
      <c r="A57"/>
      <c r="B57" t="s">
        <v>43</v>
      </c>
      <c r="C57" t="s">
        <v>43</v>
      </c>
      <c r="D57" t="s">
        <v>33</v>
      </c>
      <c r="E57" t="s">
        <v>34</v>
      </c>
      <c r="F57" t="str">
        <f>"0016616"</f>
        <v>0016616</v>
      </c>
      <c r="G57">
        <v>1</v>
      </c>
      <c r="H57" t="str">
        <f>"00000001"</f>
        <v>00000001</v>
      </c>
      <c r="I57" t="s">
        <v>35</v>
      </c>
      <c r="J57"/>
      <c r="K57">
        <v>9.32</v>
      </c>
      <c r="L57">
        <v>0.0</v>
      </c>
      <c r="M57"/>
      <c r="N57"/>
      <c r="O57">
        <v>1.68</v>
      </c>
      <c r="P57">
        <v>0.0</v>
      </c>
      <c r="Q57">
        <v>11.0</v>
      </c>
      <c r="R57"/>
      <c r="S57"/>
      <c r="T57"/>
      <c r="U57"/>
      <c r="V57"/>
      <c r="W57">
        <v>18</v>
      </c>
    </row>
    <row r="58" spans="1:23">
      <c r="A58"/>
      <c r="B58" t="s">
        <v>43</v>
      </c>
      <c r="C58" t="s">
        <v>43</v>
      </c>
      <c r="D58" t="s">
        <v>33</v>
      </c>
      <c r="E58" t="s">
        <v>34</v>
      </c>
      <c r="F58" t="str">
        <f>"0016617"</f>
        <v>0016617</v>
      </c>
      <c r="G58">
        <v>6</v>
      </c>
      <c r="H58" t="str">
        <f>"20612250066"</f>
        <v>20612250066</v>
      </c>
      <c r="I58" t="s">
        <v>53</v>
      </c>
      <c r="J58"/>
      <c r="K58">
        <v>42.37</v>
      </c>
      <c r="L58">
        <v>0.0</v>
      </c>
      <c r="M58"/>
      <c r="N58"/>
      <c r="O58">
        <v>7.63</v>
      </c>
      <c r="P58">
        <v>0.0</v>
      </c>
      <c r="Q58">
        <v>50.0</v>
      </c>
      <c r="R58"/>
      <c r="S58"/>
      <c r="T58"/>
      <c r="U58"/>
      <c r="V58"/>
      <c r="W58">
        <v>18</v>
      </c>
    </row>
    <row r="59" spans="1:23">
      <c r="A59"/>
      <c r="B59" t="s">
        <v>43</v>
      </c>
      <c r="C59" t="s">
        <v>43</v>
      </c>
      <c r="D59" t="s">
        <v>33</v>
      </c>
      <c r="E59" t="s">
        <v>34</v>
      </c>
      <c r="F59" t="str">
        <f>"0016618"</f>
        <v>0016618</v>
      </c>
      <c r="G59">
        <v>1</v>
      </c>
      <c r="H59" t="str">
        <f>"44482789"</f>
        <v>44482789</v>
      </c>
      <c r="I59" t="s">
        <v>54</v>
      </c>
      <c r="J59"/>
      <c r="K59">
        <v>8.47</v>
      </c>
      <c r="L59">
        <v>0.0</v>
      </c>
      <c r="M59"/>
      <c r="N59"/>
      <c r="O59">
        <v>1.53</v>
      </c>
      <c r="P59">
        <v>0.0</v>
      </c>
      <c r="Q59">
        <v>10.0</v>
      </c>
      <c r="R59"/>
      <c r="S59"/>
      <c r="T59"/>
      <c r="U59"/>
      <c r="V59"/>
      <c r="W59">
        <v>18</v>
      </c>
    </row>
    <row r="60" spans="1:23">
      <c r="A60"/>
      <c r="B60" t="s">
        <v>43</v>
      </c>
      <c r="C60" t="s">
        <v>43</v>
      </c>
      <c r="D60" t="s">
        <v>33</v>
      </c>
      <c r="E60" t="s">
        <v>34</v>
      </c>
      <c r="F60" t="str">
        <f>"0016619"</f>
        <v>0016619</v>
      </c>
      <c r="G60">
        <v>6</v>
      </c>
      <c r="H60" t="str">
        <f>"20610600787"</f>
        <v>20610600787</v>
      </c>
      <c r="I60" t="s">
        <v>55</v>
      </c>
      <c r="J60"/>
      <c r="K60">
        <v>28.56</v>
      </c>
      <c r="L60">
        <v>0.0</v>
      </c>
      <c r="M60"/>
      <c r="N60"/>
      <c r="O60">
        <v>5.14</v>
      </c>
      <c r="P60">
        <v>0.0</v>
      </c>
      <c r="Q60">
        <v>33.7</v>
      </c>
      <c r="R60"/>
      <c r="S60"/>
      <c r="T60"/>
      <c r="U60"/>
      <c r="V60"/>
      <c r="W60">
        <v>18</v>
      </c>
    </row>
    <row r="61" spans="1:23">
      <c r="A61"/>
      <c r="B61" t="s">
        <v>43</v>
      </c>
      <c r="C61" t="s">
        <v>43</v>
      </c>
      <c r="D61" t="s">
        <v>33</v>
      </c>
      <c r="E61" t="s">
        <v>34</v>
      </c>
      <c r="F61" t="str">
        <f>"0016620"</f>
        <v>0016620</v>
      </c>
      <c r="G61">
        <v>1</v>
      </c>
      <c r="H61" t="str">
        <f>"00000001"</f>
        <v>00000001</v>
      </c>
      <c r="I61" t="s">
        <v>35</v>
      </c>
      <c r="J61"/>
      <c r="K61">
        <v>40.68</v>
      </c>
      <c r="L61">
        <v>0.0</v>
      </c>
      <c r="M61"/>
      <c r="N61"/>
      <c r="O61">
        <v>7.32</v>
      </c>
      <c r="P61">
        <v>0.0</v>
      </c>
      <c r="Q61">
        <v>48.0</v>
      </c>
      <c r="R61"/>
      <c r="S61"/>
      <c r="T61"/>
      <c r="U61"/>
      <c r="V61"/>
      <c r="W61">
        <v>18</v>
      </c>
    </row>
    <row r="62" spans="1:23">
      <c r="A62"/>
      <c r="B62" t="s">
        <v>43</v>
      </c>
      <c r="C62" t="s">
        <v>43</v>
      </c>
      <c r="D62" t="s">
        <v>33</v>
      </c>
      <c r="E62" t="s">
        <v>34</v>
      </c>
      <c r="F62" t="str">
        <f>"0016621"</f>
        <v>0016621</v>
      </c>
      <c r="G62">
        <v>1</v>
      </c>
      <c r="H62" t="str">
        <f>"00000390"</f>
        <v>00000390</v>
      </c>
      <c r="I62" t="s">
        <v>56</v>
      </c>
      <c r="J62"/>
      <c r="K62">
        <v>8.9</v>
      </c>
      <c r="L62">
        <v>0.0</v>
      </c>
      <c r="M62"/>
      <c r="N62"/>
      <c r="O62">
        <v>1.6</v>
      </c>
      <c r="P62">
        <v>0.0</v>
      </c>
      <c r="Q62">
        <v>10.5</v>
      </c>
      <c r="R62"/>
      <c r="S62"/>
      <c r="T62"/>
      <c r="U62"/>
      <c r="V62"/>
      <c r="W62">
        <v>18</v>
      </c>
    </row>
    <row r="63" spans="1:23">
      <c r="A63"/>
      <c r="B63" t="s">
        <v>43</v>
      </c>
      <c r="C63" t="s">
        <v>43</v>
      </c>
      <c r="D63" t="s">
        <v>33</v>
      </c>
      <c r="E63" t="s">
        <v>34</v>
      </c>
      <c r="F63" t="str">
        <f>"0016622"</f>
        <v>0016622</v>
      </c>
      <c r="G63">
        <v>1</v>
      </c>
      <c r="H63" t="str">
        <f>"00000001"</f>
        <v>00000001</v>
      </c>
      <c r="I63" t="s">
        <v>35</v>
      </c>
      <c r="J63"/>
      <c r="K63">
        <v>13.56</v>
      </c>
      <c r="L63">
        <v>0.0</v>
      </c>
      <c r="M63"/>
      <c r="N63"/>
      <c r="O63">
        <v>2.44</v>
      </c>
      <c r="P63">
        <v>0.0</v>
      </c>
      <c r="Q63">
        <v>16.0</v>
      </c>
      <c r="R63"/>
      <c r="S63"/>
      <c r="T63"/>
      <c r="U63"/>
      <c r="V63"/>
      <c r="W63">
        <v>18</v>
      </c>
    </row>
    <row r="64" spans="1:23">
      <c r="A64"/>
      <c r="B64" t="s">
        <v>43</v>
      </c>
      <c r="C64" t="s">
        <v>43</v>
      </c>
      <c r="D64" t="s">
        <v>33</v>
      </c>
      <c r="E64" t="s">
        <v>34</v>
      </c>
      <c r="F64" t="str">
        <f>"0016623"</f>
        <v>0016623</v>
      </c>
      <c r="G64">
        <v>1</v>
      </c>
      <c r="H64" t="str">
        <f>"73454868"</f>
        <v>73454868</v>
      </c>
      <c r="I64" t="s">
        <v>57</v>
      </c>
      <c r="J64"/>
      <c r="K64">
        <v>8.47</v>
      </c>
      <c r="L64">
        <v>0.0</v>
      </c>
      <c r="M64"/>
      <c r="N64"/>
      <c r="O64">
        <v>1.53</v>
      </c>
      <c r="P64">
        <v>0.0</v>
      </c>
      <c r="Q64">
        <v>10.0</v>
      </c>
      <c r="R64"/>
      <c r="S64"/>
      <c r="T64"/>
      <c r="U64"/>
      <c r="V64"/>
      <c r="W64">
        <v>18</v>
      </c>
    </row>
    <row r="65" spans="1:23">
      <c r="A65"/>
      <c r="B65" t="s">
        <v>43</v>
      </c>
      <c r="C65" t="s">
        <v>43</v>
      </c>
      <c r="D65" t="s">
        <v>33</v>
      </c>
      <c r="E65" t="s">
        <v>34</v>
      </c>
      <c r="F65" t="str">
        <f>"0016624"</f>
        <v>0016624</v>
      </c>
      <c r="G65">
        <v>1</v>
      </c>
      <c r="H65" t="str">
        <f>"00000001"</f>
        <v>00000001</v>
      </c>
      <c r="I65" t="s">
        <v>35</v>
      </c>
      <c r="J65"/>
      <c r="K65">
        <v>228.81</v>
      </c>
      <c r="L65">
        <v>0.0</v>
      </c>
      <c r="M65"/>
      <c r="N65"/>
      <c r="O65">
        <v>41.19</v>
      </c>
      <c r="P65">
        <v>0.0</v>
      </c>
      <c r="Q65">
        <v>270.0</v>
      </c>
      <c r="R65"/>
      <c r="S65"/>
      <c r="T65"/>
      <c r="U65"/>
      <c r="V65"/>
      <c r="W65">
        <v>18</v>
      </c>
    </row>
    <row r="66" spans="1:23">
      <c r="A66"/>
      <c r="B66" t="s">
        <v>43</v>
      </c>
      <c r="C66" t="s">
        <v>43</v>
      </c>
      <c r="D66" t="s">
        <v>33</v>
      </c>
      <c r="E66" t="s">
        <v>34</v>
      </c>
      <c r="F66" t="str">
        <f>"0016625"</f>
        <v>0016625</v>
      </c>
      <c r="G66">
        <v>1</v>
      </c>
      <c r="H66" t="str">
        <f>"00000001"</f>
        <v>00000001</v>
      </c>
      <c r="I66" t="s">
        <v>35</v>
      </c>
      <c r="J66"/>
      <c r="K66">
        <v>38.56</v>
      </c>
      <c r="L66">
        <v>0.0</v>
      </c>
      <c r="M66"/>
      <c r="N66"/>
      <c r="O66">
        <v>6.94</v>
      </c>
      <c r="P66">
        <v>0.0</v>
      </c>
      <c r="Q66">
        <v>45.5</v>
      </c>
      <c r="R66"/>
      <c r="S66"/>
      <c r="T66"/>
      <c r="U66"/>
      <c r="V66"/>
      <c r="W66">
        <v>18</v>
      </c>
    </row>
    <row r="67" spans="1:23">
      <c r="A67"/>
      <c r="B67" t="s">
        <v>58</v>
      </c>
      <c r="C67" t="s">
        <v>58</v>
      </c>
      <c r="D67" t="s">
        <v>33</v>
      </c>
      <c r="E67" t="s">
        <v>34</v>
      </c>
      <c r="F67" t="str">
        <f>"0016626"</f>
        <v>0016626</v>
      </c>
      <c r="G67">
        <v>1</v>
      </c>
      <c r="H67" t="str">
        <f>"00000001"</f>
        <v>00000001</v>
      </c>
      <c r="I67" t="s">
        <v>35</v>
      </c>
      <c r="J67"/>
      <c r="K67">
        <v>16.95</v>
      </c>
      <c r="L67">
        <v>0.0</v>
      </c>
      <c r="M67"/>
      <c r="N67"/>
      <c r="O67">
        <v>3.05</v>
      </c>
      <c r="P67">
        <v>0.0</v>
      </c>
      <c r="Q67">
        <v>20.0</v>
      </c>
      <c r="R67"/>
      <c r="S67"/>
      <c r="T67"/>
      <c r="U67"/>
      <c r="V67"/>
      <c r="W67">
        <v>18</v>
      </c>
    </row>
    <row r="68" spans="1:23">
      <c r="A68"/>
      <c r="B68" t="s">
        <v>58</v>
      </c>
      <c r="C68" t="s">
        <v>58</v>
      </c>
      <c r="D68" t="s">
        <v>33</v>
      </c>
      <c r="E68" t="s">
        <v>34</v>
      </c>
      <c r="F68" t="str">
        <f>"0016627"</f>
        <v>0016627</v>
      </c>
      <c r="G68">
        <v>1</v>
      </c>
      <c r="H68" t="str">
        <f>"00000001"</f>
        <v>00000001</v>
      </c>
      <c r="I68" t="s">
        <v>35</v>
      </c>
      <c r="J68"/>
      <c r="K68">
        <v>6.78</v>
      </c>
      <c r="L68">
        <v>0.0</v>
      </c>
      <c r="M68"/>
      <c r="N68"/>
      <c r="O68">
        <v>1.22</v>
      </c>
      <c r="P68">
        <v>0.0</v>
      </c>
      <c r="Q68">
        <v>8.0</v>
      </c>
      <c r="R68"/>
      <c r="S68"/>
      <c r="T68"/>
      <c r="U68"/>
      <c r="V68"/>
      <c r="W68">
        <v>18</v>
      </c>
    </row>
    <row r="69" spans="1:23">
      <c r="A69"/>
      <c r="B69" t="s">
        <v>58</v>
      </c>
      <c r="C69" t="s">
        <v>58</v>
      </c>
      <c r="D69" t="s">
        <v>33</v>
      </c>
      <c r="E69" t="s">
        <v>34</v>
      </c>
      <c r="F69" t="str">
        <f>"0016628"</f>
        <v>0016628</v>
      </c>
      <c r="G69">
        <v>1</v>
      </c>
      <c r="H69" t="str">
        <f>"00000001"</f>
        <v>00000001</v>
      </c>
      <c r="I69" t="s">
        <v>35</v>
      </c>
      <c r="J69"/>
      <c r="K69">
        <v>36.86</v>
      </c>
      <c r="L69">
        <v>0.0</v>
      </c>
      <c r="M69"/>
      <c r="N69"/>
      <c r="O69">
        <v>6.64</v>
      </c>
      <c r="P69">
        <v>0.0</v>
      </c>
      <c r="Q69">
        <v>43.5</v>
      </c>
      <c r="R69"/>
      <c r="S69"/>
      <c r="T69"/>
      <c r="U69"/>
      <c r="V69"/>
      <c r="W69">
        <v>18</v>
      </c>
    </row>
    <row r="70" spans="1:23">
      <c r="A70"/>
      <c r="B70" t="s">
        <v>58</v>
      </c>
      <c r="C70" t="s">
        <v>58</v>
      </c>
      <c r="D70" t="s">
        <v>33</v>
      </c>
      <c r="E70" t="s">
        <v>34</v>
      </c>
      <c r="F70" t="str">
        <f>"0016629"</f>
        <v>0016629</v>
      </c>
      <c r="G70">
        <v>6</v>
      </c>
      <c r="H70" t="str">
        <f>"20608473174"</f>
        <v>20608473174</v>
      </c>
      <c r="I70" t="s">
        <v>59</v>
      </c>
      <c r="J70"/>
      <c r="K70">
        <v>29.66</v>
      </c>
      <c r="L70">
        <v>0.0</v>
      </c>
      <c r="M70"/>
      <c r="N70"/>
      <c r="O70">
        <v>5.34</v>
      </c>
      <c r="P70">
        <v>0.0</v>
      </c>
      <c r="Q70">
        <v>35.0</v>
      </c>
      <c r="R70"/>
      <c r="S70"/>
      <c r="T70"/>
      <c r="U70"/>
      <c r="V70"/>
      <c r="W70">
        <v>18</v>
      </c>
    </row>
    <row r="71" spans="1:23">
      <c r="A71"/>
      <c r="B71" t="s">
        <v>58</v>
      </c>
      <c r="C71" t="s">
        <v>58</v>
      </c>
      <c r="D71" t="s">
        <v>33</v>
      </c>
      <c r="E71" t="s">
        <v>34</v>
      </c>
      <c r="F71" t="str">
        <f>"0016630"</f>
        <v>0016630</v>
      </c>
      <c r="G71">
        <v>6</v>
      </c>
      <c r="H71" t="str">
        <f>"20610600787"</f>
        <v>20610600787</v>
      </c>
      <c r="I71" t="s">
        <v>55</v>
      </c>
      <c r="J71"/>
      <c r="K71">
        <v>42.37</v>
      </c>
      <c r="L71">
        <v>0.0</v>
      </c>
      <c r="M71"/>
      <c r="N71"/>
      <c r="O71">
        <v>7.63</v>
      </c>
      <c r="P71">
        <v>0.0</v>
      </c>
      <c r="Q71">
        <v>50.0</v>
      </c>
      <c r="R71"/>
      <c r="S71"/>
      <c r="T71"/>
      <c r="U71"/>
      <c r="V71"/>
      <c r="W71">
        <v>18</v>
      </c>
    </row>
    <row r="72" spans="1:23">
      <c r="A72"/>
      <c r="B72" t="s">
        <v>58</v>
      </c>
      <c r="C72" t="s">
        <v>58</v>
      </c>
      <c r="D72" t="s">
        <v>33</v>
      </c>
      <c r="E72" t="s">
        <v>34</v>
      </c>
      <c r="F72" t="str">
        <f>"0016631"</f>
        <v>0016631</v>
      </c>
      <c r="G72">
        <v>6</v>
      </c>
      <c r="H72" t="str">
        <f>"20610600787"</f>
        <v>20610600787</v>
      </c>
      <c r="I72" t="s">
        <v>55</v>
      </c>
      <c r="J72"/>
      <c r="K72">
        <v>42.37</v>
      </c>
      <c r="L72">
        <v>0.0</v>
      </c>
      <c r="M72"/>
      <c r="N72"/>
      <c r="O72">
        <v>7.63</v>
      </c>
      <c r="P72">
        <v>0.0</v>
      </c>
      <c r="Q72">
        <v>50.0</v>
      </c>
      <c r="R72"/>
      <c r="S72"/>
      <c r="T72"/>
      <c r="U72"/>
      <c r="V72"/>
      <c r="W72">
        <v>18</v>
      </c>
    </row>
    <row r="73" spans="1:23">
      <c r="A73"/>
      <c r="B73" t="s">
        <v>58</v>
      </c>
      <c r="C73" t="s">
        <v>58</v>
      </c>
      <c r="D73" t="s">
        <v>33</v>
      </c>
      <c r="E73" t="s">
        <v>34</v>
      </c>
      <c r="F73" t="str">
        <f>"0016632"</f>
        <v>0016632</v>
      </c>
      <c r="G73">
        <v>6</v>
      </c>
      <c r="H73" t="str">
        <f>"20610600787"</f>
        <v>20610600787</v>
      </c>
      <c r="I73" t="s">
        <v>55</v>
      </c>
      <c r="J73"/>
      <c r="K73">
        <v>1.69</v>
      </c>
      <c r="L73">
        <v>0.0</v>
      </c>
      <c r="M73"/>
      <c r="N73"/>
      <c r="O73">
        <v>0.31</v>
      </c>
      <c r="P73">
        <v>0.0</v>
      </c>
      <c r="Q73">
        <v>2.0</v>
      </c>
      <c r="R73"/>
      <c r="S73"/>
      <c r="T73"/>
      <c r="U73"/>
      <c r="V73"/>
      <c r="W73">
        <v>18</v>
      </c>
    </row>
    <row r="74" spans="1:23">
      <c r="A74"/>
      <c r="B74" t="s">
        <v>58</v>
      </c>
      <c r="C74" t="s">
        <v>58</v>
      </c>
      <c r="D74" t="s">
        <v>33</v>
      </c>
      <c r="E74" t="s">
        <v>34</v>
      </c>
      <c r="F74" t="str">
        <f>"0016633"</f>
        <v>0016633</v>
      </c>
      <c r="G74">
        <v>1</v>
      </c>
      <c r="H74" t="str">
        <f>"00000001"</f>
        <v>00000001</v>
      </c>
      <c r="I74" t="s">
        <v>35</v>
      </c>
      <c r="J74"/>
      <c r="K74">
        <v>42.37</v>
      </c>
      <c r="L74">
        <v>0.0</v>
      </c>
      <c r="M74"/>
      <c r="N74"/>
      <c r="O74">
        <v>7.63</v>
      </c>
      <c r="P74">
        <v>0.0</v>
      </c>
      <c r="Q74">
        <v>50.0</v>
      </c>
      <c r="R74"/>
      <c r="S74"/>
      <c r="T74"/>
      <c r="U74"/>
      <c r="V74"/>
      <c r="W74">
        <v>18</v>
      </c>
    </row>
    <row r="75" spans="1:23">
      <c r="A75"/>
      <c r="B75" t="s">
        <v>58</v>
      </c>
      <c r="C75" t="s">
        <v>58</v>
      </c>
      <c r="D75" t="s">
        <v>33</v>
      </c>
      <c r="E75" t="s">
        <v>34</v>
      </c>
      <c r="F75" t="str">
        <f>"0016634"</f>
        <v>0016634</v>
      </c>
      <c r="G75">
        <v>6</v>
      </c>
      <c r="H75" t="str">
        <f>"20610600787"</f>
        <v>20610600787</v>
      </c>
      <c r="I75" t="s">
        <v>55</v>
      </c>
      <c r="J75"/>
      <c r="K75">
        <v>42.37</v>
      </c>
      <c r="L75">
        <v>0.0</v>
      </c>
      <c r="M75"/>
      <c r="N75"/>
      <c r="O75">
        <v>7.63</v>
      </c>
      <c r="P75">
        <v>0.0</v>
      </c>
      <c r="Q75">
        <v>50.0</v>
      </c>
      <c r="R75"/>
      <c r="S75"/>
      <c r="T75"/>
      <c r="U75"/>
      <c r="V75"/>
      <c r="W75">
        <v>18</v>
      </c>
    </row>
    <row r="76" spans="1:23">
      <c r="A76"/>
      <c r="B76" t="s">
        <v>58</v>
      </c>
      <c r="C76" t="s">
        <v>58</v>
      </c>
      <c r="D76" t="s">
        <v>33</v>
      </c>
      <c r="E76" t="s">
        <v>34</v>
      </c>
      <c r="F76" t="str">
        <f>"0016635"</f>
        <v>0016635</v>
      </c>
      <c r="G76">
        <v>6</v>
      </c>
      <c r="H76" t="str">
        <f>"20610600787"</f>
        <v>20610600787</v>
      </c>
      <c r="I76" t="s">
        <v>55</v>
      </c>
      <c r="J76"/>
      <c r="K76">
        <v>42.37</v>
      </c>
      <c r="L76">
        <v>0.0</v>
      </c>
      <c r="M76"/>
      <c r="N76"/>
      <c r="O76">
        <v>7.63</v>
      </c>
      <c r="P76">
        <v>0.0</v>
      </c>
      <c r="Q76">
        <v>50.0</v>
      </c>
      <c r="R76"/>
      <c r="S76"/>
      <c r="T76"/>
      <c r="U76"/>
      <c r="V76"/>
      <c r="W76">
        <v>18</v>
      </c>
    </row>
    <row r="77" spans="1:23">
      <c r="A77"/>
      <c r="B77" t="s">
        <v>58</v>
      </c>
      <c r="C77" t="s">
        <v>58</v>
      </c>
      <c r="D77" t="s">
        <v>33</v>
      </c>
      <c r="E77" t="s">
        <v>34</v>
      </c>
      <c r="F77" t="str">
        <f>"0016636"</f>
        <v>0016636</v>
      </c>
      <c r="G77">
        <v>6</v>
      </c>
      <c r="H77" t="str">
        <f>"20610600787"</f>
        <v>20610600787</v>
      </c>
      <c r="I77" t="s">
        <v>55</v>
      </c>
      <c r="J77"/>
      <c r="K77">
        <v>42.37</v>
      </c>
      <c r="L77">
        <v>0.0</v>
      </c>
      <c r="M77"/>
      <c r="N77"/>
      <c r="O77">
        <v>7.63</v>
      </c>
      <c r="P77">
        <v>0.0</v>
      </c>
      <c r="Q77">
        <v>50.0</v>
      </c>
      <c r="R77"/>
      <c r="S77"/>
      <c r="T77"/>
      <c r="U77"/>
      <c r="V77"/>
      <c r="W77">
        <v>18</v>
      </c>
    </row>
    <row r="78" spans="1:23">
      <c r="A78"/>
      <c r="B78" t="s">
        <v>58</v>
      </c>
      <c r="C78" t="s">
        <v>58</v>
      </c>
      <c r="D78" t="s">
        <v>33</v>
      </c>
      <c r="E78" t="s">
        <v>34</v>
      </c>
      <c r="F78" t="str">
        <f>"0016637"</f>
        <v>0016637</v>
      </c>
      <c r="G78">
        <v>6</v>
      </c>
      <c r="H78" t="str">
        <f>"20610600787"</f>
        <v>20610600787</v>
      </c>
      <c r="I78" t="s">
        <v>55</v>
      </c>
      <c r="J78"/>
      <c r="K78">
        <v>42.37</v>
      </c>
      <c r="L78">
        <v>0.0</v>
      </c>
      <c r="M78"/>
      <c r="N78"/>
      <c r="O78">
        <v>7.63</v>
      </c>
      <c r="P78">
        <v>0.0</v>
      </c>
      <c r="Q78">
        <v>50.0</v>
      </c>
      <c r="R78"/>
      <c r="S78"/>
      <c r="T78"/>
      <c r="U78"/>
      <c r="V78"/>
      <c r="W78">
        <v>18</v>
      </c>
    </row>
    <row r="79" spans="1:23">
      <c r="A79"/>
      <c r="B79" t="s">
        <v>58</v>
      </c>
      <c r="C79" t="s">
        <v>58</v>
      </c>
      <c r="D79" t="s">
        <v>33</v>
      </c>
      <c r="E79" t="s">
        <v>34</v>
      </c>
      <c r="F79" t="str">
        <f>"0016638"</f>
        <v>0016638</v>
      </c>
      <c r="G79">
        <v>6</v>
      </c>
      <c r="H79" t="str">
        <f>"20610600787"</f>
        <v>20610600787</v>
      </c>
      <c r="I79" t="s">
        <v>55</v>
      </c>
      <c r="J79"/>
      <c r="K79">
        <v>42.37</v>
      </c>
      <c r="L79">
        <v>0.0</v>
      </c>
      <c r="M79"/>
      <c r="N79"/>
      <c r="O79">
        <v>7.63</v>
      </c>
      <c r="P79">
        <v>0.0</v>
      </c>
      <c r="Q79">
        <v>50.0</v>
      </c>
      <c r="R79"/>
      <c r="S79"/>
      <c r="T79"/>
      <c r="U79"/>
      <c r="V79"/>
      <c r="W79">
        <v>18</v>
      </c>
    </row>
    <row r="80" spans="1:23">
      <c r="A80"/>
      <c r="B80" t="s">
        <v>58</v>
      </c>
      <c r="C80" t="s">
        <v>58</v>
      </c>
      <c r="D80" t="s">
        <v>33</v>
      </c>
      <c r="E80" t="s">
        <v>34</v>
      </c>
      <c r="F80" t="str">
        <f>"0016639"</f>
        <v>0016639</v>
      </c>
      <c r="G80">
        <v>6</v>
      </c>
      <c r="H80" t="str">
        <f>"20610600787"</f>
        <v>20610600787</v>
      </c>
      <c r="I80" t="s">
        <v>55</v>
      </c>
      <c r="J80"/>
      <c r="K80">
        <v>42.37</v>
      </c>
      <c r="L80">
        <v>0.0</v>
      </c>
      <c r="M80"/>
      <c r="N80"/>
      <c r="O80">
        <v>7.63</v>
      </c>
      <c r="P80">
        <v>0.0</v>
      </c>
      <c r="Q80">
        <v>50.0</v>
      </c>
      <c r="R80"/>
      <c r="S80"/>
      <c r="T80"/>
      <c r="U80"/>
      <c r="V80"/>
      <c r="W80">
        <v>18</v>
      </c>
    </row>
    <row r="81" spans="1:23">
      <c r="A81"/>
      <c r="B81" t="s">
        <v>58</v>
      </c>
      <c r="C81" t="s">
        <v>58</v>
      </c>
      <c r="D81" t="s">
        <v>33</v>
      </c>
      <c r="E81" t="s">
        <v>34</v>
      </c>
      <c r="F81" t="str">
        <f>"0016640"</f>
        <v>0016640</v>
      </c>
      <c r="G81">
        <v>6</v>
      </c>
      <c r="H81" t="str">
        <f>"20610600787"</f>
        <v>20610600787</v>
      </c>
      <c r="I81" t="s">
        <v>55</v>
      </c>
      <c r="J81"/>
      <c r="K81">
        <v>42.37</v>
      </c>
      <c r="L81">
        <v>0.0</v>
      </c>
      <c r="M81"/>
      <c r="N81"/>
      <c r="O81">
        <v>7.63</v>
      </c>
      <c r="P81">
        <v>0.0</v>
      </c>
      <c r="Q81">
        <v>50.0</v>
      </c>
      <c r="R81"/>
      <c r="S81"/>
      <c r="T81"/>
      <c r="U81"/>
      <c r="V81"/>
      <c r="W81">
        <v>18</v>
      </c>
    </row>
    <row r="82" spans="1:23">
      <c r="A82"/>
      <c r="B82" t="s">
        <v>58</v>
      </c>
      <c r="C82" t="s">
        <v>58</v>
      </c>
      <c r="D82" t="s">
        <v>33</v>
      </c>
      <c r="E82" t="s">
        <v>34</v>
      </c>
      <c r="F82" t="str">
        <f>"0016641"</f>
        <v>0016641</v>
      </c>
      <c r="G82">
        <v>6</v>
      </c>
      <c r="H82" t="str">
        <f>"20610600787"</f>
        <v>20610600787</v>
      </c>
      <c r="I82" t="s">
        <v>55</v>
      </c>
      <c r="J82"/>
      <c r="K82">
        <v>42.37</v>
      </c>
      <c r="L82">
        <v>0.0</v>
      </c>
      <c r="M82"/>
      <c r="N82"/>
      <c r="O82">
        <v>7.63</v>
      </c>
      <c r="P82">
        <v>0.0</v>
      </c>
      <c r="Q82">
        <v>50.0</v>
      </c>
      <c r="R82"/>
      <c r="S82"/>
      <c r="T82"/>
      <c r="U82"/>
      <c r="V82"/>
      <c r="W82">
        <v>18</v>
      </c>
    </row>
    <row r="83" spans="1:23">
      <c r="A83"/>
      <c r="B83" t="s">
        <v>58</v>
      </c>
      <c r="C83" t="s">
        <v>58</v>
      </c>
      <c r="D83" t="s">
        <v>33</v>
      </c>
      <c r="E83" t="s">
        <v>34</v>
      </c>
      <c r="F83" t="str">
        <f>"0016642"</f>
        <v>0016642</v>
      </c>
      <c r="G83">
        <v>6</v>
      </c>
      <c r="H83" t="str">
        <f>"20610600787"</f>
        <v>20610600787</v>
      </c>
      <c r="I83" t="s">
        <v>55</v>
      </c>
      <c r="J83"/>
      <c r="K83">
        <v>42.37</v>
      </c>
      <c r="L83">
        <v>0.0</v>
      </c>
      <c r="M83"/>
      <c r="N83"/>
      <c r="O83">
        <v>7.63</v>
      </c>
      <c r="P83">
        <v>0.0</v>
      </c>
      <c r="Q83">
        <v>50.0</v>
      </c>
      <c r="R83"/>
      <c r="S83"/>
      <c r="T83"/>
      <c r="U83"/>
      <c r="V83"/>
      <c r="W83">
        <v>18</v>
      </c>
    </row>
    <row r="84" spans="1:23">
      <c r="A84"/>
      <c r="B84" t="s">
        <v>58</v>
      </c>
      <c r="C84" t="s">
        <v>58</v>
      </c>
      <c r="D84" t="s">
        <v>33</v>
      </c>
      <c r="E84" t="s">
        <v>34</v>
      </c>
      <c r="F84" t="str">
        <f>"0016643"</f>
        <v>0016643</v>
      </c>
      <c r="G84">
        <v>6</v>
      </c>
      <c r="H84" t="str">
        <f>"20610600787"</f>
        <v>20610600787</v>
      </c>
      <c r="I84" t="s">
        <v>55</v>
      </c>
      <c r="J84"/>
      <c r="K84">
        <v>42.37</v>
      </c>
      <c r="L84">
        <v>0.0</v>
      </c>
      <c r="M84"/>
      <c r="N84"/>
      <c r="O84">
        <v>7.63</v>
      </c>
      <c r="P84">
        <v>0.0</v>
      </c>
      <c r="Q84">
        <v>50.0</v>
      </c>
      <c r="R84"/>
      <c r="S84"/>
      <c r="T84"/>
      <c r="U84"/>
      <c r="V84"/>
      <c r="W84">
        <v>18</v>
      </c>
    </row>
    <row r="85" spans="1:23">
      <c r="A85"/>
      <c r="B85" t="s">
        <v>58</v>
      </c>
      <c r="C85" t="s">
        <v>58</v>
      </c>
      <c r="D85" t="s">
        <v>33</v>
      </c>
      <c r="E85" t="s">
        <v>34</v>
      </c>
      <c r="F85" t="str">
        <f>"0016644"</f>
        <v>0016644</v>
      </c>
      <c r="G85">
        <v>6</v>
      </c>
      <c r="H85" t="str">
        <f>"20610600787"</f>
        <v>20610600787</v>
      </c>
      <c r="I85" t="s">
        <v>55</v>
      </c>
      <c r="J85"/>
      <c r="K85">
        <v>42.37</v>
      </c>
      <c r="L85">
        <v>0.0</v>
      </c>
      <c r="M85"/>
      <c r="N85"/>
      <c r="O85">
        <v>7.63</v>
      </c>
      <c r="P85">
        <v>0.0</v>
      </c>
      <c r="Q85">
        <v>50.0</v>
      </c>
      <c r="R85"/>
      <c r="S85"/>
      <c r="T85"/>
      <c r="U85"/>
      <c r="V85"/>
      <c r="W85">
        <v>18</v>
      </c>
    </row>
    <row r="86" spans="1:23">
      <c r="A86"/>
      <c r="B86" t="s">
        <v>58</v>
      </c>
      <c r="C86" t="s">
        <v>58</v>
      </c>
      <c r="D86" t="s">
        <v>33</v>
      </c>
      <c r="E86" t="s">
        <v>34</v>
      </c>
      <c r="F86" t="str">
        <f>"0016645"</f>
        <v>0016645</v>
      </c>
      <c r="G86">
        <v>6</v>
      </c>
      <c r="H86" t="str">
        <f>"20610600787"</f>
        <v>20610600787</v>
      </c>
      <c r="I86" t="s">
        <v>55</v>
      </c>
      <c r="J86"/>
      <c r="K86">
        <v>42.37</v>
      </c>
      <c r="L86">
        <v>0.0</v>
      </c>
      <c r="M86"/>
      <c r="N86"/>
      <c r="O86">
        <v>7.63</v>
      </c>
      <c r="P86">
        <v>0.0</v>
      </c>
      <c r="Q86">
        <v>50.0</v>
      </c>
      <c r="R86"/>
      <c r="S86"/>
      <c r="T86"/>
      <c r="U86"/>
      <c r="V86"/>
      <c r="W86">
        <v>18</v>
      </c>
    </row>
    <row r="87" spans="1:23">
      <c r="A87"/>
      <c r="B87" t="s">
        <v>58</v>
      </c>
      <c r="C87" t="s">
        <v>58</v>
      </c>
      <c r="D87" t="s">
        <v>33</v>
      </c>
      <c r="E87" t="s">
        <v>34</v>
      </c>
      <c r="F87" t="str">
        <f>"0016646"</f>
        <v>0016646</v>
      </c>
      <c r="G87">
        <v>6</v>
      </c>
      <c r="H87" t="str">
        <f>"20610600787"</f>
        <v>20610600787</v>
      </c>
      <c r="I87" t="s">
        <v>55</v>
      </c>
      <c r="J87"/>
      <c r="K87">
        <v>42.37</v>
      </c>
      <c r="L87">
        <v>0.0</v>
      </c>
      <c r="M87"/>
      <c r="N87"/>
      <c r="O87">
        <v>7.63</v>
      </c>
      <c r="P87">
        <v>0.0</v>
      </c>
      <c r="Q87">
        <v>50.0</v>
      </c>
      <c r="R87"/>
      <c r="S87"/>
      <c r="T87"/>
      <c r="U87"/>
      <c r="V87"/>
      <c r="W87">
        <v>18</v>
      </c>
    </row>
    <row r="88" spans="1:23">
      <c r="A88"/>
      <c r="B88" t="s">
        <v>58</v>
      </c>
      <c r="C88" t="s">
        <v>58</v>
      </c>
      <c r="D88" t="s">
        <v>33</v>
      </c>
      <c r="E88" t="s">
        <v>34</v>
      </c>
      <c r="F88" t="str">
        <f>"0016647"</f>
        <v>0016647</v>
      </c>
      <c r="G88">
        <v>6</v>
      </c>
      <c r="H88" t="str">
        <f>"20610600787"</f>
        <v>20610600787</v>
      </c>
      <c r="I88" t="s">
        <v>55</v>
      </c>
      <c r="J88"/>
      <c r="K88">
        <v>42.37</v>
      </c>
      <c r="L88">
        <v>0.0</v>
      </c>
      <c r="M88"/>
      <c r="N88"/>
      <c r="O88">
        <v>7.63</v>
      </c>
      <c r="P88">
        <v>0.0</v>
      </c>
      <c r="Q88">
        <v>50.0</v>
      </c>
      <c r="R88"/>
      <c r="S88"/>
      <c r="T88"/>
      <c r="U88"/>
      <c r="V88"/>
      <c r="W88">
        <v>18</v>
      </c>
    </row>
    <row r="89" spans="1:23">
      <c r="A89"/>
      <c r="B89" t="s">
        <v>58</v>
      </c>
      <c r="C89" t="s">
        <v>58</v>
      </c>
      <c r="D89" t="s">
        <v>33</v>
      </c>
      <c r="E89" t="s">
        <v>34</v>
      </c>
      <c r="F89" t="str">
        <f>"0016648"</f>
        <v>0016648</v>
      </c>
      <c r="G89">
        <v>6</v>
      </c>
      <c r="H89" t="str">
        <f>"20610600787"</f>
        <v>20610600787</v>
      </c>
      <c r="I89" t="s">
        <v>55</v>
      </c>
      <c r="J89"/>
      <c r="K89">
        <v>42.37</v>
      </c>
      <c r="L89">
        <v>0.0</v>
      </c>
      <c r="M89"/>
      <c r="N89"/>
      <c r="O89">
        <v>7.63</v>
      </c>
      <c r="P89">
        <v>0.0</v>
      </c>
      <c r="Q89">
        <v>50.0</v>
      </c>
      <c r="R89"/>
      <c r="S89"/>
      <c r="T89"/>
      <c r="U89"/>
      <c r="V89"/>
      <c r="W89">
        <v>18</v>
      </c>
    </row>
    <row r="90" spans="1:23">
      <c r="A90"/>
      <c r="B90" t="s">
        <v>58</v>
      </c>
      <c r="C90" t="s">
        <v>58</v>
      </c>
      <c r="D90" t="s">
        <v>33</v>
      </c>
      <c r="E90" t="s">
        <v>34</v>
      </c>
      <c r="F90" t="str">
        <f>"0016649"</f>
        <v>0016649</v>
      </c>
      <c r="G90">
        <v>6</v>
      </c>
      <c r="H90" t="str">
        <f>"20612250066"</f>
        <v>20612250066</v>
      </c>
      <c r="I90" t="s">
        <v>53</v>
      </c>
      <c r="J90"/>
      <c r="K90">
        <v>42.37</v>
      </c>
      <c r="L90">
        <v>0.0</v>
      </c>
      <c r="M90"/>
      <c r="N90"/>
      <c r="O90">
        <v>7.63</v>
      </c>
      <c r="P90">
        <v>0.0</v>
      </c>
      <c r="Q90">
        <v>50.0</v>
      </c>
      <c r="R90"/>
      <c r="S90"/>
      <c r="T90"/>
      <c r="U90"/>
      <c r="V90"/>
      <c r="W90">
        <v>18</v>
      </c>
    </row>
    <row r="91" spans="1:23">
      <c r="A91"/>
      <c r="B91" t="s">
        <v>58</v>
      </c>
      <c r="C91" t="s">
        <v>58</v>
      </c>
      <c r="D91" t="s">
        <v>33</v>
      </c>
      <c r="E91" t="s">
        <v>34</v>
      </c>
      <c r="F91" t="str">
        <f>"0016650"</f>
        <v>0016650</v>
      </c>
      <c r="G91">
        <v>1</v>
      </c>
      <c r="H91" t="str">
        <f>"00000001"</f>
        <v>00000001</v>
      </c>
      <c r="I91" t="s">
        <v>35</v>
      </c>
      <c r="J91"/>
      <c r="K91">
        <v>55.93</v>
      </c>
      <c r="L91">
        <v>0.0</v>
      </c>
      <c r="M91"/>
      <c r="N91"/>
      <c r="O91">
        <v>10.07</v>
      </c>
      <c r="P91">
        <v>0.0</v>
      </c>
      <c r="Q91">
        <v>66.0</v>
      </c>
      <c r="R91"/>
      <c r="S91"/>
      <c r="T91"/>
      <c r="U91"/>
      <c r="V91"/>
      <c r="W91">
        <v>18</v>
      </c>
    </row>
    <row r="92" spans="1:23">
      <c r="A92"/>
      <c r="B92" t="s">
        <v>58</v>
      </c>
      <c r="C92" t="s">
        <v>58</v>
      </c>
      <c r="D92" t="s">
        <v>33</v>
      </c>
      <c r="E92" t="s">
        <v>34</v>
      </c>
      <c r="F92" t="str">
        <f>"0016651"</f>
        <v>0016651</v>
      </c>
      <c r="G92">
        <v>6</v>
      </c>
      <c r="H92" t="str">
        <f>"20610600787"</f>
        <v>20610600787</v>
      </c>
      <c r="I92" t="s">
        <v>55</v>
      </c>
      <c r="J92"/>
      <c r="K92">
        <v>42.37</v>
      </c>
      <c r="L92">
        <v>0.0</v>
      </c>
      <c r="M92"/>
      <c r="N92"/>
      <c r="O92">
        <v>7.63</v>
      </c>
      <c r="P92">
        <v>0.0</v>
      </c>
      <c r="Q92">
        <v>50.0</v>
      </c>
      <c r="R92"/>
      <c r="S92"/>
      <c r="T92"/>
      <c r="U92"/>
      <c r="V92"/>
      <c r="W92">
        <v>18</v>
      </c>
    </row>
    <row r="93" spans="1:23">
      <c r="A93"/>
      <c r="B93" t="s">
        <v>58</v>
      </c>
      <c r="C93" t="s">
        <v>58</v>
      </c>
      <c r="D93" t="s">
        <v>33</v>
      </c>
      <c r="E93" t="s">
        <v>34</v>
      </c>
      <c r="F93" t="str">
        <f>"0016652"</f>
        <v>0016652</v>
      </c>
      <c r="G93">
        <v>6</v>
      </c>
      <c r="H93" t="str">
        <f>"20610600787"</f>
        <v>20610600787</v>
      </c>
      <c r="I93" t="s">
        <v>55</v>
      </c>
      <c r="J93"/>
      <c r="K93">
        <v>42.37</v>
      </c>
      <c r="L93">
        <v>0.0</v>
      </c>
      <c r="M93"/>
      <c r="N93"/>
      <c r="O93">
        <v>7.63</v>
      </c>
      <c r="P93">
        <v>0.0</v>
      </c>
      <c r="Q93">
        <v>50.0</v>
      </c>
      <c r="R93"/>
      <c r="S93"/>
      <c r="T93"/>
      <c r="U93"/>
      <c r="V93"/>
      <c r="W93">
        <v>18</v>
      </c>
    </row>
    <row r="94" spans="1:23">
      <c r="A94"/>
      <c r="B94" t="s">
        <v>58</v>
      </c>
      <c r="C94" t="s">
        <v>58</v>
      </c>
      <c r="D94" t="s">
        <v>33</v>
      </c>
      <c r="E94" t="s">
        <v>34</v>
      </c>
      <c r="F94" t="str">
        <f>"0016653"</f>
        <v>0016653</v>
      </c>
      <c r="G94">
        <v>1</v>
      </c>
      <c r="H94" t="str">
        <f>"00000001"</f>
        <v>00000001</v>
      </c>
      <c r="I94" t="s">
        <v>35</v>
      </c>
      <c r="J94"/>
      <c r="K94">
        <v>10.17</v>
      </c>
      <c r="L94">
        <v>0.0</v>
      </c>
      <c r="M94"/>
      <c r="N94"/>
      <c r="O94">
        <v>1.83</v>
      </c>
      <c r="P94">
        <v>0.0</v>
      </c>
      <c r="Q94">
        <v>12.0</v>
      </c>
      <c r="R94"/>
      <c r="S94"/>
      <c r="T94"/>
      <c r="U94"/>
      <c r="V94"/>
      <c r="W94">
        <v>18</v>
      </c>
    </row>
    <row r="95" spans="1:23">
      <c r="A95"/>
      <c r="B95" t="s">
        <v>58</v>
      </c>
      <c r="C95" t="s">
        <v>58</v>
      </c>
      <c r="D95" t="s">
        <v>33</v>
      </c>
      <c r="E95" t="s">
        <v>34</v>
      </c>
      <c r="F95" t="str">
        <f>"0016654"</f>
        <v>0016654</v>
      </c>
      <c r="G95">
        <v>6</v>
      </c>
      <c r="H95" t="str">
        <f>"20610600787"</f>
        <v>20610600787</v>
      </c>
      <c r="I95" t="s">
        <v>55</v>
      </c>
      <c r="J95"/>
      <c r="K95">
        <v>42.37</v>
      </c>
      <c r="L95">
        <v>0.0</v>
      </c>
      <c r="M95"/>
      <c r="N95"/>
      <c r="O95">
        <v>7.63</v>
      </c>
      <c r="P95">
        <v>0.0</v>
      </c>
      <c r="Q95">
        <v>50.0</v>
      </c>
      <c r="R95"/>
      <c r="S95"/>
      <c r="T95"/>
      <c r="U95"/>
      <c r="V95"/>
      <c r="W95">
        <v>18</v>
      </c>
    </row>
    <row r="96" spans="1:23">
      <c r="A96"/>
      <c r="B96" t="s">
        <v>58</v>
      </c>
      <c r="C96" t="s">
        <v>58</v>
      </c>
      <c r="D96" t="s">
        <v>33</v>
      </c>
      <c r="E96" t="s">
        <v>34</v>
      </c>
      <c r="F96" t="str">
        <f>"0016655"</f>
        <v>0016655</v>
      </c>
      <c r="G96">
        <v>6</v>
      </c>
      <c r="H96" t="str">
        <f>"20610600787"</f>
        <v>20610600787</v>
      </c>
      <c r="I96" t="s">
        <v>55</v>
      </c>
      <c r="J96"/>
      <c r="K96">
        <v>42.37</v>
      </c>
      <c r="L96">
        <v>0.0</v>
      </c>
      <c r="M96"/>
      <c r="N96"/>
      <c r="O96">
        <v>7.63</v>
      </c>
      <c r="P96">
        <v>0.0</v>
      </c>
      <c r="Q96">
        <v>50.0</v>
      </c>
      <c r="R96"/>
      <c r="S96"/>
      <c r="T96"/>
      <c r="U96"/>
      <c r="V96"/>
      <c r="W96">
        <v>18</v>
      </c>
    </row>
    <row r="97" spans="1:23">
      <c r="A97"/>
      <c r="B97" t="s">
        <v>58</v>
      </c>
      <c r="C97" t="s">
        <v>58</v>
      </c>
      <c r="D97" t="s">
        <v>33</v>
      </c>
      <c r="E97" t="s">
        <v>34</v>
      </c>
      <c r="F97" t="str">
        <f>"0016656"</f>
        <v>0016656</v>
      </c>
      <c r="G97">
        <v>6</v>
      </c>
      <c r="H97" t="str">
        <f>"20610600787"</f>
        <v>20610600787</v>
      </c>
      <c r="I97" t="s">
        <v>55</v>
      </c>
      <c r="J97"/>
      <c r="K97">
        <v>42.37</v>
      </c>
      <c r="L97">
        <v>0.0</v>
      </c>
      <c r="M97"/>
      <c r="N97"/>
      <c r="O97">
        <v>7.63</v>
      </c>
      <c r="P97">
        <v>0.0</v>
      </c>
      <c r="Q97">
        <v>50.0</v>
      </c>
      <c r="R97"/>
      <c r="S97"/>
      <c r="T97"/>
      <c r="U97"/>
      <c r="V97"/>
      <c r="W97">
        <v>18</v>
      </c>
    </row>
    <row r="98" spans="1:23">
      <c r="A98"/>
      <c r="B98" t="s">
        <v>58</v>
      </c>
      <c r="C98" t="s">
        <v>58</v>
      </c>
      <c r="D98" t="s">
        <v>33</v>
      </c>
      <c r="E98" t="s">
        <v>34</v>
      </c>
      <c r="F98" t="str">
        <f>"0016657"</f>
        <v>0016657</v>
      </c>
      <c r="G98">
        <v>6</v>
      </c>
      <c r="H98" t="str">
        <f>"20610600787"</f>
        <v>20610600787</v>
      </c>
      <c r="I98" t="s">
        <v>55</v>
      </c>
      <c r="J98"/>
      <c r="K98">
        <v>42.37</v>
      </c>
      <c r="L98">
        <v>0.0</v>
      </c>
      <c r="M98"/>
      <c r="N98"/>
      <c r="O98">
        <v>7.63</v>
      </c>
      <c r="P98">
        <v>0.0</v>
      </c>
      <c r="Q98">
        <v>50.0</v>
      </c>
      <c r="R98"/>
      <c r="S98"/>
      <c r="T98"/>
      <c r="U98"/>
      <c r="V98"/>
      <c r="W98">
        <v>18</v>
      </c>
    </row>
    <row r="99" spans="1:23">
      <c r="A99"/>
      <c r="B99" t="s">
        <v>58</v>
      </c>
      <c r="C99" t="s">
        <v>58</v>
      </c>
      <c r="D99" t="s">
        <v>33</v>
      </c>
      <c r="E99" t="s">
        <v>34</v>
      </c>
      <c r="F99" t="str">
        <f>"0016658"</f>
        <v>0016658</v>
      </c>
      <c r="G99">
        <v>6</v>
      </c>
      <c r="H99" t="str">
        <f>"20610600787"</f>
        <v>20610600787</v>
      </c>
      <c r="I99" t="s">
        <v>55</v>
      </c>
      <c r="J99"/>
      <c r="K99">
        <v>10.17</v>
      </c>
      <c r="L99">
        <v>0.0</v>
      </c>
      <c r="M99"/>
      <c r="N99"/>
      <c r="O99">
        <v>1.83</v>
      </c>
      <c r="P99">
        <v>0.0</v>
      </c>
      <c r="Q99">
        <v>12.0</v>
      </c>
      <c r="R99"/>
      <c r="S99"/>
      <c r="T99"/>
      <c r="U99"/>
      <c r="V99"/>
      <c r="W99">
        <v>18</v>
      </c>
    </row>
    <row r="100" spans="1:23">
      <c r="A100"/>
      <c r="B100" t="s">
        <v>58</v>
      </c>
      <c r="C100" t="s">
        <v>58</v>
      </c>
      <c r="D100" t="s">
        <v>33</v>
      </c>
      <c r="E100" t="s">
        <v>34</v>
      </c>
      <c r="F100" t="str">
        <f>"0016659"</f>
        <v>0016659</v>
      </c>
      <c r="G100">
        <v>6</v>
      </c>
      <c r="H100" t="str">
        <f>"20610600787"</f>
        <v>20610600787</v>
      </c>
      <c r="I100" t="s">
        <v>55</v>
      </c>
      <c r="J100"/>
      <c r="K100">
        <v>42.37</v>
      </c>
      <c r="L100">
        <v>0.0</v>
      </c>
      <c r="M100"/>
      <c r="N100"/>
      <c r="O100">
        <v>7.63</v>
      </c>
      <c r="P100">
        <v>0.0</v>
      </c>
      <c r="Q100">
        <v>50.0</v>
      </c>
      <c r="R100"/>
      <c r="S100"/>
      <c r="T100"/>
      <c r="U100"/>
      <c r="V100"/>
      <c r="W100">
        <v>18</v>
      </c>
    </row>
    <row r="101" spans="1:23">
      <c r="A101"/>
      <c r="B101" t="s">
        <v>58</v>
      </c>
      <c r="C101" t="s">
        <v>58</v>
      </c>
      <c r="D101" t="s">
        <v>33</v>
      </c>
      <c r="E101" t="s">
        <v>34</v>
      </c>
      <c r="F101" t="str">
        <f>"0016660"</f>
        <v>0016660</v>
      </c>
      <c r="G101">
        <v>6</v>
      </c>
      <c r="H101" t="str">
        <f>"20612250066"</f>
        <v>20612250066</v>
      </c>
      <c r="I101" t="s">
        <v>53</v>
      </c>
      <c r="J101"/>
      <c r="K101">
        <v>42.37</v>
      </c>
      <c r="L101">
        <v>0.0</v>
      </c>
      <c r="M101"/>
      <c r="N101"/>
      <c r="O101">
        <v>7.63</v>
      </c>
      <c r="P101">
        <v>0.0</v>
      </c>
      <c r="Q101">
        <v>50.0</v>
      </c>
      <c r="R101"/>
      <c r="S101"/>
      <c r="T101"/>
      <c r="U101"/>
      <c r="V101"/>
      <c r="W101">
        <v>18</v>
      </c>
    </row>
    <row r="102" spans="1:23">
      <c r="A102"/>
      <c r="B102" t="s">
        <v>58</v>
      </c>
      <c r="C102" t="s">
        <v>58</v>
      </c>
      <c r="D102" t="s">
        <v>33</v>
      </c>
      <c r="E102" t="s">
        <v>34</v>
      </c>
      <c r="F102" t="str">
        <f>"0016661"</f>
        <v>0016661</v>
      </c>
      <c r="G102">
        <v>6</v>
      </c>
      <c r="H102" t="str">
        <f>"20610600787"</f>
        <v>20610600787</v>
      </c>
      <c r="I102" t="s">
        <v>55</v>
      </c>
      <c r="J102"/>
      <c r="K102">
        <v>42.37</v>
      </c>
      <c r="L102">
        <v>0.0</v>
      </c>
      <c r="M102"/>
      <c r="N102"/>
      <c r="O102">
        <v>7.63</v>
      </c>
      <c r="P102">
        <v>0.0</v>
      </c>
      <c r="Q102">
        <v>50.0</v>
      </c>
      <c r="R102"/>
      <c r="S102"/>
      <c r="T102"/>
      <c r="U102"/>
      <c r="V102"/>
      <c r="W102">
        <v>18</v>
      </c>
    </row>
    <row r="103" spans="1:23">
      <c r="A103"/>
      <c r="B103" t="s">
        <v>58</v>
      </c>
      <c r="C103" t="s">
        <v>58</v>
      </c>
      <c r="D103" t="s">
        <v>33</v>
      </c>
      <c r="E103" t="s">
        <v>34</v>
      </c>
      <c r="F103" t="str">
        <f>"0016662"</f>
        <v>0016662</v>
      </c>
      <c r="G103">
        <v>1</v>
      </c>
      <c r="H103" t="str">
        <f>"00000001"</f>
        <v>00000001</v>
      </c>
      <c r="I103" t="s">
        <v>35</v>
      </c>
      <c r="J103"/>
      <c r="K103">
        <v>6.78</v>
      </c>
      <c r="L103">
        <v>0.0</v>
      </c>
      <c r="M103"/>
      <c r="N103"/>
      <c r="O103">
        <v>1.22</v>
      </c>
      <c r="P103">
        <v>0.0</v>
      </c>
      <c r="Q103">
        <v>8.0</v>
      </c>
      <c r="R103"/>
      <c r="S103"/>
      <c r="T103"/>
      <c r="U103"/>
      <c r="V103"/>
      <c r="W103">
        <v>18</v>
      </c>
    </row>
    <row r="104" spans="1:23">
      <c r="A104"/>
      <c r="B104" t="s">
        <v>58</v>
      </c>
      <c r="C104" t="s">
        <v>58</v>
      </c>
      <c r="D104" t="s">
        <v>33</v>
      </c>
      <c r="E104" t="s">
        <v>34</v>
      </c>
      <c r="F104" t="str">
        <f>"0016663"</f>
        <v>0016663</v>
      </c>
      <c r="G104">
        <v>6</v>
      </c>
      <c r="H104" t="str">
        <f>"20610600787"</f>
        <v>20610600787</v>
      </c>
      <c r="I104" t="s">
        <v>55</v>
      </c>
      <c r="J104"/>
      <c r="K104">
        <v>42.37</v>
      </c>
      <c r="L104">
        <v>0.0</v>
      </c>
      <c r="M104"/>
      <c r="N104"/>
      <c r="O104">
        <v>7.63</v>
      </c>
      <c r="P104">
        <v>0.0</v>
      </c>
      <c r="Q104">
        <v>50.0</v>
      </c>
      <c r="R104"/>
      <c r="S104"/>
      <c r="T104"/>
      <c r="U104"/>
      <c r="V104"/>
      <c r="W104">
        <v>18</v>
      </c>
    </row>
    <row r="105" spans="1:23">
      <c r="A105"/>
      <c r="B105" t="s">
        <v>58</v>
      </c>
      <c r="C105" t="s">
        <v>58</v>
      </c>
      <c r="D105" t="s">
        <v>33</v>
      </c>
      <c r="E105" t="s">
        <v>34</v>
      </c>
      <c r="F105" t="str">
        <f>"0016664"</f>
        <v>0016664</v>
      </c>
      <c r="G105">
        <v>6</v>
      </c>
      <c r="H105" t="str">
        <f>"20610600787"</f>
        <v>20610600787</v>
      </c>
      <c r="I105" t="s">
        <v>55</v>
      </c>
      <c r="J105"/>
      <c r="K105">
        <v>42.37</v>
      </c>
      <c r="L105">
        <v>0.0</v>
      </c>
      <c r="M105"/>
      <c r="N105"/>
      <c r="O105">
        <v>7.63</v>
      </c>
      <c r="P105">
        <v>0.0</v>
      </c>
      <c r="Q105">
        <v>50.0</v>
      </c>
      <c r="R105"/>
      <c r="S105"/>
      <c r="T105"/>
      <c r="U105"/>
      <c r="V105"/>
      <c r="W105">
        <v>18</v>
      </c>
    </row>
    <row r="106" spans="1:23">
      <c r="A106"/>
      <c r="B106" t="s">
        <v>58</v>
      </c>
      <c r="C106" t="s">
        <v>58</v>
      </c>
      <c r="D106" t="s">
        <v>33</v>
      </c>
      <c r="E106" t="s">
        <v>34</v>
      </c>
      <c r="F106" t="str">
        <f>"0016665"</f>
        <v>0016665</v>
      </c>
      <c r="G106">
        <v>6</v>
      </c>
      <c r="H106" t="str">
        <f>"20610600787"</f>
        <v>20610600787</v>
      </c>
      <c r="I106" t="s">
        <v>55</v>
      </c>
      <c r="J106"/>
      <c r="K106">
        <v>23.73</v>
      </c>
      <c r="L106">
        <v>0.0</v>
      </c>
      <c r="M106"/>
      <c r="N106"/>
      <c r="O106">
        <v>4.27</v>
      </c>
      <c r="P106">
        <v>0.0</v>
      </c>
      <c r="Q106">
        <v>28.0</v>
      </c>
      <c r="R106"/>
      <c r="S106"/>
      <c r="T106"/>
      <c r="U106"/>
      <c r="V106"/>
      <c r="W106">
        <v>18</v>
      </c>
    </row>
    <row r="107" spans="1:23">
      <c r="A107"/>
      <c r="B107" t="s">
        <v>58</v>
      </c>
      <c r="C107" t="s">
        <v>58</v>
      </c>
      <c r="D107" t="s">
        <v>33</v>
      </c>
      <c r="E107" t="s">
        <v>34</v>
      </c>
      <c r="F107" t="str">
        <f>"0016666"</f>
        <v>0016666</v>
      </c>
      <c r="G107">
        <v>6</v>
      </c>
      <c r="H107" t="str">
        <f>"20610600787"</f>
        <v>20610600787</v>
      </c>
      <c r="I107" t="s">
        <v>55</v>
      </c>
      <c r="J107"/>
      <c r="K107">
        <v>42.37</v>
      </c>
      <c r="L107">
        <v>0.0</v>
      </c>
      <c r="M107"/>
      <c r="N107"/>
      <c r="O107">
        <v>7.63</v>
      </c>
      <c r="P107">
        <v>0.0</v>
      </c>
      <c r="Q107">
        <v>50.0</v>
      </c>
      <c r="R107"/>
      <c r="S107"/>
      <c r="T107"/>
      <c r="U107"/>
      <c r="V107"/>
      <c r="W107">
        <v>18</v>
      </c>
    </row>
    <row r="108" spans="1:23">
      <c r="A108"/>
      <c r="B108" t="s">
        <v>58</v>
      </c>
      <c r="C108" t="s">
        <v>58</v>
      </c>
      <c r="D108" t="s">
        <v>33</v>
      </c>
      <c r="E108" t="s">
        <v>34</v>
      </c>
      <c r="F108" t="str">
        <f>"0016667"</f>
        <v>0016667</v>
      </c>
      <c r="G108">
        <v>6</v>
      </c>
      <c r="H108" t="str">
        <f>"20610600787"</f>
        <v>20610600787</v>
      </c>
      <c r="I108" t="s">
        <v>55</v>
      </c>
      <c r="J108"/>
      <c r="K108">
        <v>42.37</v>
      </c>
      <c r="L108">
        <v>0.0</v>
      </c>
      <c r="M108"/>
      <c r="N108"/>
      <c r="O108">
        <v>7.63</v>
      </c>
      <c r="P108">
        <v>0.0</v>
      </c>
      <c r="Q108">
        <v>50.0</v>
      </c>
      <c r="R108"/>
      <c r="S108"/>
      <c r="T108"/>
      <c r="U108"/>
      <c r="V108"/>
      <c r="W108">
        <v>18</v>
      </c>
    </row>
    <row r="109" spans="1:23">
      <c r="A109"/>
      <c r="B109" t="s">
        <v>58</v>
      </c>
      <c r="C109" t="s">
        <v>58</v>
      </c>
      <c r="D109" t="s">
        <v>33</v>
      </c>
      <c r="E109" t="s">
        <v>34</v>
      </c>
      <c r="F109" t="str">
        <f>"0016668"</f>
        <v>0016668</v>
      </c>
      <c r="G109">
        <v>6</v>
      </c>
      <c r="H109" t="str">
        <f>"20608473174"</f>
        <v>20608473174</v>
      </c>
      <c r="I109" t="s">
        <v>59</v>
      </c>
      <c r="J109"/>
      <c r="K109">
        <v>42.37</v>
      </c>
      <c r="L109">
        <v>0.0</v>
      </c>
      <c r="M109"/>
      <c r="N109"/>
      <c r="O109">
        <v>7.63</v>
      </c>
      <c r="P109">
        <v>0.0</v>
      </c>
      <c r="Q109">
        <v>50.0</v>
      </c>
      <c r="R109"/>
      <c r="S109"/>
      <c r="T109"/>
      <c r="U109"/>
      <c r="V109"/>
      <c r="W109">
        <v>18</v>
      </c>
    </row>
    <row r="110" spans="1:23">
      <c r="A110"/>
      <c r="B110" t="s">
        <v>58</v>
      </c>
      <c r="C110" t="s">
        <v>58</v>
      </c>
      <c r="D110" t="s">
        <v>33</v>
      </c>
      <c r="E110" t="s">
        <v>34</v>
      </c>
      <c r="F110" t="str">
        <f>"0016669"</f>
        <v>0016669</v>
      </c>
      <c r="G110">
        <v>6</v>
      </c>
      <c r="H110" t="str">
        <f>"20610600787"</f>
        <v>20610600787</v>
      </c>
      <c r="I110" t="s">
        <v>55</v>
      </c>
      <c r="J110"/>
      <c r="K110">
        <v>20.34</v>
      </c>
      <c r="L110">
        <v>0.0</v>
      </c>
      <c r="M110"/>
      <c r="N110"/>
      <c r="O110">
        <v>3.66</v>
      </c>
      <c r="P110">
        <v>0.0</v>
      </c>
      <c r="Q110">
        <v>24.0</v>
      </c>
      <c r="R110"/>
      <c r="S110"/>
      <c r="T110"/>
      <c r="U110"/>
      <c r="V110"/>
      <c r="W110">
        <v>18</v>
      </c>
    </row>
    <row r="111" spans="1:23">
      <c r="A111"/>
      <c r="B111" t="s">
        <v>58</v>
      </c>
      <c r="C111" t="s">
        <v>58</v>
      </c>
      <c r="D111" t="s">
        <v>33</v>
      </c>
      <c r="E111" t="s">
        <v>34</v>
      </c>
      <c r="F111" t="str">
        <f>"0016670"</f>
        <v>0016670</v>
      </c>
      <c r="G111">
        <v>6</v>
      </c>
      <c r="H111" t="str">
        <f>"20610600787"</f>
        <v>20610600787</v>
      </c>
      <c r="I111" t="s">
        <v>55</v>
      </c>
      <c r="J111"/>
      <c r="K111">
        <v>42.37</v>
      </c>
      <c r="L111">
        <v>0.0</v>
      </c>
      <c r="M111"/>
      <c r="N111"/>
      <c r="O111">
        <v>7.63</v>
      </c>
      <c r="P111">
        <v>0.0</v>
      </c>
      <c r="Q111">
        <v>50.0</v>
      </c>
      <c r="R111"/>
      <c r="S111"/>
      <c r="T111"/>
      <c r="U111"/>
      <c r="V111"/>
      <c r="W111">
        <v>18</v>
      </c>
    </row>
    <row r="112" spans="1:23">
      <c r="A112"/>
      <c r="B112" t="s">
        <v>58</v>
      </c>
      <c r="C112" t="s">
        <v>58</v>
      </c>
      <c r="D112" t="s">
        <v>33</v>
      </c>
      <c r="E112" t="s">
        <v>34</v>
      </c>
      <c r="F112" t="str">
        <f>"0016671"</f>
        <v>0016671</v>
      </c>
      <c r="G112">
        <v>6</v>
      </c>
      <c r="H112" t="str">
        <f>"20610600787"</f>
        <v>20610600787</v>
      </c>
      <c r="I112" t="s">
        <v>55</v>
      </c>
      <c r="J112"/>
      <c r="K112">
        <v>42.37</v>
      </c>
      <c r="L112">
        <v>0.0</v>
      </c>
      <c r="M112"/>
      <c r="N112"/>
      <c r="O112">
        <v>7.63</v>
      </c>
      <c r="P112">
        <v>0.0</v>
      </c>
      <c r="Q112">
        <v>50.0</v>
      </c>
      <c r="R112"/>
      <c r="S112"/>
      <c r="T112"/>
      <c r="U112"/>
      <c r="V112"/>
      <c r="W112">
        <v>18</v>
      </c>
    </row>
    <row r="113" spans="1:23">
      <c r="A113"/>
      <c r="B113" t="s">
        <v>58</v>
      </c>
      <c r="C113" t="s">
        <v>58</v>
      </c>
      <c r="D113" t="s">
        <v>33</v>
      </c>
      <c r="E113" t="s">
        <v>34</v>
      </c>
      <c r="F113" t="str">
        <f>"0016672"</f>
        <v>0016672</v>
      </c>
      <c r="G113">
        <v>6</v>
      </c>
      <c r="H113" t="str">
        <f>"20608473174"</f>
        <v>20608473174</v>
      </c>
      <c r="I113" t="s">
        <v>59</v>
      </c>
      <c r="J113"/>
      <c r="K113">
        <v>42.37</v>
      </c>
      <c r="L113">
        <v>0.0</v>
      </c>
      <c r="M113"/>
      <c r="N113"/>
      <c r="O113">
        <v>7.63</v>
      </c>
      <c r="P113">
        <v>0.0</v>
      </c>
      <c r="Q113">
        <v>50.0</v>
      </c>
      <c r="R113"/>
      <c r="S113"/>
      <c r="T113"/>
      <c r="U113"/>
      <c r="V113"/>
      <c r="W113">
        <v>18</v>
      </c>
    </row>
    <row r="114" spans="1:23">
      <c r="A114"/>
      <c r="B114" t="s">
        <v>58</v>
      </c>
      <c r="C114" t="s">
        <v>58</v>
      </c>
      <c r="D114" t="s">
        <v>33</v>
      </c>
      <c r="E114" t="s">
        <v>34</v>
      </c>
      <c r="F114" t="str">
        <f>"0016673"</f>
        <v>0016673</v>
      </c>
      <c r="G114">
        <v>6</v>
      </c>
      <c r="H114" t="str">
        <f>"20610600787"</f>
        <v>20610600787</v>
      </c>
      <c r="I114" t="s">
        <v>55</v>
      </c>
      <c r="J114"/>
      <c r="K114">
        <v>42.37</v>
      </c>
      <c r="L114">
        <v>0.0</v>
      </c>
      <c r="M114"/>
      <c r="N114"/>
      <c r="O114">
        <v>7.63</v>
      </c>
      <c r="P114">
        <v>0.0</v>
      </c>
      <c r="Q114">
        <v>50.0</v>
      </c>
      <c r="R114"/>
      <c r="S114"/>
      <c r="T114"/>
      <c r="U114"/>
      <c r="V114"/>
      <c r="W114">
        <v>18</v>
      </c>
    </row>
    <row r="115" spans="1:23">
      <c r="A115"/>
      <c r="B115" t="s">
        <v>58</v>
      </c>
      <c r="C115" t="s">
        <v>58</v>
      </c>
      <c r="D115" t="s">
        <v>33</v>
      </c>
      <c r="E115" t="s">
        <v>34</v>
      </c>
      <c r="F115" t="str">
        <f>"0016674"</f>
        <v>0016674</v>
      </c>
      <c r="G115">
        <v>6</v>
      </c>
      <c r="H115" t="str">
        <f>"20610600787"</f>
        <v>20610600787</v>
      </c>
      <c r="I115" t="s">
        <v>55</v>
      </c>
      <c r="J115"/>
      <c r="K115">
        <v>42.37</v>
      </c>
      <c r="L115">
        <v>0.0</v>
      </c>
      <c r="M115"/>
      <c r="N115"/>
      <c r="O115">
        <v>7.63</v>
      </c>
      <c r="P115">
        <v>0.0</v>
      </c>
      <c r="Q115">
        <v>50.0</v>
      </c>
      <c r="R115"/>
      <c r="S115"/>
      <c r="T115"/>
      <c r="U115"/>
      <c r="V115"/>
      <c r="W115">
        <v>18</v>
      </c>
    </row>
    <row r="116" spans="1:23">
      <c r="A116"/>
      <c r="B116" t="s">
        <v>58</v>
      </c>
      <c r="C116" t="s">
        <v>58</v>
      </c>
      <c r="D116" t="s">
        <v>33</v>
      </c>
      <c r="E116" t="s">
        <v>34</v>
      </c>
      <c r="F116" t="str">
        <f>"0016675"</f>
        <v>0016675</v>
      </c>
      <c r="G116">
        <v>6</v>
      </c>
      <c r="H116" t="str">
        <f>"20610600787"</f>
        <v>20610600787</v>
      </c>
      <c r="I116" t="s">
        <v>55</v>
      </c>
      <c r="J116"/>
      <c r="K116">
        <v>12.71</v>
      </c>
      <c r="L116">
        <v>0.0</v>
      </c>
      <c r="M116"/>
      <c r="N116"/>
      <c r="O116">
        <v>2.29</v>
      </c>
      <c r="P116">
        <v>0.0</v>
      </c>
      <c r="Q116">
        <v>15.0</v>
      </c>
      <c r="R116"/>
      <c r="S116"/>
      <c r="T116"/>
      <c r="U116"/>
      <c r="V116"/>
      <c r="W116">
        <v>18</v>
      </c>
    </row>
    <row r="117" spans="1:23">
      <c r="A117"/>
      <c r="B117" t="s">
        <v>58</v>
      </c>
      <c r="C117" t="s">
        <v>58</v>
      </c>
      <c r="D117" t="s">
        <v>33</v>
      </c>
      <c r="E117" t="s">
        <v>34</v>
      </c>
      <c r="F117" t="str">
        <f>"0016676"</f>
        <v>0016676</v>
      </c>
      <c r="G117">
        <v>6</v>
      </c>
      <c r="H117" t="str">
        <f>"20610600787"</f>
        <v>20610600787</v>
      </c>
      <c r="I117" t="s">
        <v>55</v>
      </c>
      <c r="J117"/>
      <c r="K117">
        <v>42.37</v>
      </c>
      <c r="L117">
        <v>0.0</v>
      </c>
      <c r="M117"/>
      <c r="N117"/>
      <c r="O117">
        <v>7.63</v>
      </c>
      <c r="P117">
        <v>0.0</v>
      </c>
      <c r="Q117">
        <v>50.0</v>
      </c>
      <c r="R117"/>
      <c r="S117"/>
      <c r="T117"/>
      <c r="U117"/>
      <c r="V117"/>
      <c r="W117">
        <v>18</v>
      </c>
    </row>
    <row r="118" spans="1:23">
      <c r="A118"/>
      <c r="B118" t="s">
        <v>58</v>
      </c>
      <c r="C118" t="s">
        <v>58</v>
      </c>
      <c r="D118" t="s">
        <v>36</v>
      </c>
      <c r="E118" t="s">
        <v>37</v>
      </c>
      <c r="F118" t="str">
        <f>"0001364"</f>
        <v>0001364</v>
      </c>
      <c r="G118">
        <v>6</v>
      </c>
      <c r="H118" t="str">
        <f>"20326108627"</f>
        <v>20326108627</v>
      </c>
      <c r="I118" t="s">
        <v>60</v>
      </c>
      <c r="J118"/>
      <c r="K118">
        <v>27.12</v>
      </c>
      <c r="L118">
        <v>0.0</v>
      </c>
      <c r="M118"/>
      <c r="N118"/>
      <c r="O118">
        <v>4.88</v>
      </c>
      <c r="P118">
        <v>0.0</v>
      </c>
      <c r="Q118">
        <v>32.0</v>
      </c>
      <c r="R118"/>
      <c r="S118"/>
      <c r="T118"/>
      <c r="U118"/>
      <c r="V118"/>
      <c r="W118">
        <v>18</v>
      </c>
    </row>
    <row r="119" spans="1:23">
      <c r="A119"/>
      <c r="B119" t="s">
        <v>58</v>
      </c>
      <c r="C119" t="s">
        <v>58</v>
      </c>
      <c r="D119" t="s">
        <v>33</v>
      </c>
      <c r="E119" t="s">
        <v>34</v>
      </c>
      <c r="F119" t="str">
        <f>"0016677"</f>
        <v>0016677</v>
      </c>
      <c r="G119">
        <v>6</v>
      </c>
      <c r="H119" t="str">
        <f>"20610600787"</f>
        <v>20610600787</v>
      </c>
      <c r="I119" t="s">
        <v>55</v>
      </c>
      <c r="J119"/>
      <c r="K119">
        <v>42.37</v>
      </c>
      <c r="L119">
        <v>0.0</v>
      </c>
      <c r="M119"/>
      <c r="N119"/>
      <c r="O119">
        <v>7.63</v>
      </c>
      <c r="P119">
        <v>0.0</v>
      </c>
      <c r="Q119">
        <v>50.0</v>
      </c>
      <c r="R119"/>
      <c r="S119"/>
      <c r="T119"/>
      <c r="U119"/>
      <c r="V119"/>
      <c r="W119">
        <v>18</v>
      </c>
    </row>
    <row r="120" spans="1:23">
      <c r="A120"/>
      <c r="B120" t="s">
        <v>58</v>
      </c>
      <c r="C120" t="s">
        <v>58</v>
      </c>
      <c r="D120" t="s">
        <v>33</v>
      </c>
      <c r="E120" t="s">
        <v>34</v>
      </c>
      <c r="F120" t="str">
        <f>"0016678"</f>
        <v>0016678</v>
      </c>
      <c r="G120">
        <v>6</v>
      </c>
      <c r="H120" t="str">
        <f>"20610600787"</f>
        <v>20610600787</v>
      </c>
      <c r="I120" t="s">
        <v>55</v>
      </c>
      <c r="J120"/>
      <c r="K120">
        <v>25.42</v>
      </c>
      <c r="L120">
        <v>0.0</v>
      </c>
      <c r="M120"/>
      <c r="N120"/>
      <c r="O120">
        <v>4.58</v>
      </c>
      <c r="P120">
        <v>0.0</v>
      </c>
      <c r="Q120">
        <v>30.0</v>
      </c>
      <c r="R120"/>
      <c r="S120"/>
      <c r="T120"/>
      <c r="U120"/>
      <c r="V120"/>
      <c r="W120">
        <v>18</v>
      </c>
    </row>
    <row r="121" spans="1:23">
      <c r="A121"/>
      <c r="B121" t="s">
        <v>58</v>
      </c>
      <c r="C121" t="s">
        <v>58</v>
      </c>
      <c r="D121" t="s">
        <v>33</v>
      </c>
      <c r="E121" t="s">
        <v>34</v>
      </c>
      <c r="F121" t="str">
        <f>"0016679"</f>
        <v>0016679</v>
      </c>
      <c r="G121">
        <v>6</v>
      </c>
      <c r="H121" t="str">
        <f>"20610600787"</f>
        <v>20610600787</v>
      </c>
      <c r="I121" t="s">
        <v>55</v>
      </c>
      <c r="J121"/>
      <c r="K121">
        <v>25.42</v>
      </c>
      <c r="L121">
        <v>0.0</v>
      </c>
      <c r="M121"/>
      <c r="N121"/>
      <c r="O121">
        <v>4.58</v>
      </c>
      <c r="P121">
        <v>0.0</v>
      </c>
      <c r="Q121">
        <v>30.0</v>
      </c>
      <c r="R121"/>
      <c r="S121"/>
      <c r="T121"/>
      <c r="U121"/>
      <c r="V121"/>
      <c r="W121">
        <v>18</v>
      </c>
    </row>
    <row r="122" spans="1:23">
      <c r="A122"/>
      <c r="B122" t="s">
        <v>58</v>
      </c>
      <c r="C122" t="s">
        <v>58</v>
      </c>
      <c r="D122" t="s">
        <v>33</v>
      </c>
      <c r="E122" t="s">
        <v>34</v>
      </c>
      <c r="F122" t="str">
        <f>"0016680"</f>
        <v>0016680</v>
      </c>
      <c r="G122">
        <v>6</v>
      </c>
      <c r="H122" t="str">
        <f>"20610600787"</f>
        <v>20610600787</v>
      </c>
      <c r="I122" t="s">
        <v>55</v>
      </c>
      <c r="J122"/>
      <c r="K122">
        <v>42.37</v>
      </c>
      <c r="L122">
        <v>0.0</v>
      </c>
      <c r="M122"/>
      <c r="N122"/>
      <c r="O122">
        <v>7.63</v>
      </c>
      <c r="P122">
        <v>0.0</v>
      </c>
      <c r="Q122">
        <v>50.0</v>
      </c>
      <c r="R122"/>
      <c r="S122"/>
      <c r="T122"/>
      <c r="U122"/>
      <c r="V122"/>
      <c r="W122">
        <v>18</v>
      </c>
    </row>
    <row r="123" spans="1:23">
      <c r="A123"/>
      <c r="B123" t="s">
        <v>58</v>
      </c>
      <c r="C123" t="s">
        <v>58</v>
      </c>
      <c r="D123" t="s">
        <v>33</v>
      </c>
      <c r="E123" t="s">
        <v>34</v>
      </c>
      <c r="F123" t="str">
        <f>"0016681"</f>
        <v>0016681</v>
      </c>
      <c r="G123">
        <v>1</v>
      </c>
      <c r="H123" t="str">
        <f>"00000001"</f>
        <v>00000001</v>
      </c>
      <c r="I123" t="s">
        <v>35</v>
      </c>
      <c r="J123"/>
      <c r="K123">
        <v>3.39</v>
      </c>
      <c r="L123">
        <v>0.0</v>
      </c>
      <c r="M123"/>
      <c r="N123"/>
      <c r="O123">
        <v>0.61</v>
      </c>
      <c r="P123">
        <v>0.0</v>
      </c>
      <c r="Q123">
        <v>4.0</v>
      </c>
      <c r="R123"/>
      <c r="S123"/>
      <c r="T123"/>
      <c r="U123"/>
      <c r="V123"/>
      <c r="W123">
        <v>18</v>
      </c>
    </row>
    <row r="124" spans="1:23">
      <c r="A124"/>
      <c r="B124" t="s">
        <v>58</v>
      </c>
      <c r="C124" t="s">
        <v>58</v>
      </c>
      <c r="D124" t="s">
        <v>33</v>
      </c>
      <c r="E124" t="s">
        <v>34</v>
      </c>
      <c r="F124" t="str">
        <f>"0016682"</f>
        <v>0016682</v>
      </c>
      <c r="G124">
        <v>1</v>
      </c>
      <c r="H124" t="str">
        <f>"00000001"</f>
        <v>00000001</v>
      </c>
      <c r="I124" t="s">
        <v>35</v>
      </c>
      <c r="J124"/>
      <c r="K124">
        <v>16.1</v>
      </c>
      <c r="L124">
        <v>0.0</v>
      </c>
      <c r="M124"/>
      <c r="N124"/>
      <c r="O124">
        <v>2.9</v>
      </c>
      <c r="P124">
        <v>0.0</v>
      </c>
      <c r="Q124">
        <v>19.0</v>
      </c>
      <c r="R124"/>
      <c r="S124"/>
      <c r="T124"/>
      <c r="U124"/>
      <c r="V124"/>
      <c r="W124">
        <v>18</v>
      </c>
    </row>
    <row r="125" spans="1:23">
      <c r="A125"/>
      <c r="B125" t="s">
        <v>58</v>
      </c>
      <c r="C125" t="s">
        <v>58</v>
      </c>
      <c r="D125" t="s">
        <v>33</v>
      </c>
      <c r="E125" t="s">
        <v>34</v>
      </c>
      <c r="F125" t="str">
        <f>"0016683"</f>
        <v>0016683</v>
      </c>
      <c r="G125">
        <v>6</v>
      </c>
      <c r="H125" t="str">
        <f>"20610600787"</f>
        <v>20610600787</v>
      </c>
      <c r="I125" t="s">
        <v>55</v>
      </c>
      <c r="J125"/>
      <c r="K125">
        <v>13.56</v>
      </c>
      <c r="L125">
        <v>0.0</v>
      </c>
      <c r="M125"/>
      <c r="N125"/>
      <c r="O125">
        <v>2.44</v>
      </c>
      <c r="P125">
        <v>0.0</v>
      </c>
      <c r="Q125">
        <v>16.0</v>
      </c>
      <c r="R125"/>
      <c r="S125"/>
      <c r="T125"/>
      <c r="U125"/>
      <c r="V125"/>
      <c r="W125">
        <v>18</v>
      </c>
    </row>
    <row r="126" spans="1:23">
      <c r="A126"/>
      <c r="B126" t="s">
        <v>58</v>
      </c>
      <c r="C126" t="s">
        <v>58</v>
      </c>
      <c r="D126" t="s">
        <v>33</v>
      </c>
      <c r="E126" t="s">
        <v>34</v>
      </c>
      <c r="F126" t="str">
        <f>"0016684"</f>
        <v>0016684</v>
      </c>
      <c r="G126">
        <v>6</v>
      </c>
      <c r="H126" t="str">
        <f>"20610600787"</f>
        <v>20610600787</v>
      </c>
      <c r="I126" t="s">
        <v>55</v>
      </c>
      <c r="J126"/>
      <c r="K126">
        <v>16.1</v>
      </c>
      <c r="L126">
        <v>0.0</v>
      </c>
      <c r="M126"/>
      <c r="N126"/>
      <c r="O126">
        <v>2.9</v>
      </c>
      <c r="P126">
        <v>0.0</v>
      </c>
      <c r="Q126">
        <v>19.0</v>
      </c>
      <c r="R126"/>
      <c r="S126"/>
      <c r="T126"/>
      <c r="U126"/>
      <c r="V126"/>
      <c r="W126">
        <v>18</v>
      </c>
    </row>
    <row r="127" spans="1:23">
      <c r="A127"/>
      <c r="B127" t="s">
        <v>58</v>
      </c>
      <c r="C127" t="s">
        <v>58</v>
      </c>
      <c r="D127" t="s">
        <v>33</v>
      </c>
      <c r="E127" t="s">
        <v>34</v>
      </c>
      <c r="F127" t="str">
        <f>"0016685"</f>
        <v>0016685</v>
      </c>
      <c r="G127">
        <v>6</v>
      </c>
      <c r="H127" t="str">
        <f>"20610600787"</f>
        <v>20610600787</v>
      </c>
      <c r="I127" t="s">
        <v>55</v>
      </c>
      <c r="J127"/>
      <c r="K127">
        <v>8.47</v>
      </c>
      <c r="L127">
        <v>0.0</v>
      </c>
      <c r="M127"/>
      <c r="N127"/>
      <c r="O127">
        <v>1.53</v>
      </c>
      <c r="P127">
        <v>0.0</v>
      </c>
      <c r="Q127">
        <v>10.0</v>
      </c>
      <c r="R127"/>
      <c r="S127"/>
      <c r="T127"/>
      <c r="U127"/>
      <c r="V127"/>
      <c r="W127">
        <v>18</v>
      </c>
    </row>
    <row r="128" spans="1:23">
      <c r="A128"/>
      <c r="B128" t="s">
        <v>58</v>
      </c>
      <c r="C128" t="s">
        <v>58</v>
      </c>
      <c r="D128" t="s">
        <v>33</v>
      </c>
      <c r="E128" t="s">
        <v>34</v>
      </c>
      <c r="F128" t="str">
        <f>"0016686"</f>
        <v>0016686</v>
      </c>
      <c r="G128">
        <v>6</v>
      </c>
      <c r="H128" t="str">
        <f>"20610600787"</f>
        <v>20610600787</v>
      </c>
      <c r="I128" t="s">
        <v>55</v>
      </c>
      <c r="J128"/>
      <c r="K128">
        <v>42.37</v>
      </c>
      <c r="L128">
        <v>0.0</v>
      </c>
      <c r="M128"/>
      <c r="N128"/>
      <c r="O128">
        <v>7.63</v>
      </c>
      <c r="P128">
        <v>0.0</v>
      </c>
      <c r="Q128">
        <v>50.0</v>
      </c>
      <c r="R128"/>
      <c r="S128"/>
      <c r="T128"/>
      <c r="U128"/>
      <c r="V128"/>
      <c r="W128">
        <v>18</v>
      </c>
    </row>
    <row r="129" spans="1:23">
      <c r="A129"/>
      <c r="B129" t="s">
        <v>58</v>
      </c>
      <c r="C129" t="s">
        <v>58</v>
      </c>
      <c r="D129" t="s">
        <v>33</v>
      </c>
      <c r="E129" t="s">
        <v>34</v>
      </c>
      <c r="F129" t="str">
        <f>"0016687"</f>
        <v>0016687</v>
      </c>
      <c r="G129">
        <v>6</v>
      </c>
      <c r="H129" t="str">
        <f>"20610600787"</f>
        <v>20610600787</v>
      </c>
      <c r="I129" t="s">
        <v>55</v>
      </c>
      <c r="J129"/>
      <c r="K129">
        <v>42.37</v>
      </c>
      <c r="L129">
        <v>0.0</v>
      </c>
      <c r="M129"/>
      <c r="N129"/>
      <c r="O129">
        <v>7.63</v>
      </c>
      <c r="P129">
        <v>0.0</v>
      </c>
      <c r="Q129">
        <v>50.0</v>
      </c>
      <c r="R129"/>
      <c r="S129"/>
      <c r="T129"/>
      <c r="U129"/>
      <c r="V129"/>
      <c r="W129">
        <v>18</v>
      </c>
    </row>
    <row r="130" spans="1:23">
      <c r="A130"/>
      <c r="B130" t="s">
        <v>58</v>
      </c>
      <c r="C130" t="s">
        <v>58</v>
      </c>
      <c r="D130" t="s">
        <v>33</v>
      </c>
      <c r="E130" t="s">
        <v>34</v>
      </c>
      <c r="F130" t="str">
        <f>"0016688"</f>
        <v>0016688</v>
      </c>
      <c r="G130">
        <v>6</v>
      </c>
      <c r="H130" t="str">
        <f>"20610600787"</f>
        <v>20610600787</v>
      </c>
      <c r="I130" t="s">
        <v>55</v>
      </c>
      <c r="J130"/>
      <c r="K130">
        <v>42.37</v>
      </c>
      <c r="L130">
        <v>0.0</v>
      </c>
      <c r="M130"/>
      <c r="N130"/>
      <c r="O130">
        <v>7.63</v>
      </c>
      <c r="P130">
        <v>0.0</v>
      </c>
      <c r="Q130">
        <v>50.0</v>
      </c>
      <c r="R130"/>
      <c r="S130"/>
      <c r="T130"/>
      <c r="U130"/>
      <c r="V130"/>
      <c r="W130">
        <v>18</v>
      </c>
    </row>
    <row r="131" spans="1:23">
      <c r="A131"/>
      <c r="B131" t="s">
        <v>58</v>
      </c>
      <c r="C131" t="s">
        <v>58</v>
      </c>
      <c r="D131" t="s">
        <v>33</v>
      </c>
      <c r="E131" t="s">
        <v>34</v>
      </c>
      <c r="F131" t="str">
        <f>"0016689"</f>
        <v>0016689</v>
      </c>
      <c r="G131">
        <v>6</v>
      </c>
      <c r="H131" t="str">
        <f>"20610600787"</f>
        <v>20610600787</v>
      </c>
      <c r="I131" t="s">
        <v>55</v>
      </c>
      <c r="J131"/>
      <c r="K131">
        <v>42.37</v>
      </c>
      <c r="L131">
        <v>0.0</v>
      </c>
      <c r="M131"/>
      <c r="N131"/>
      <c r="O131">
        <v>7.63</v>
      </c>
      <c r="P131">
        <v>0.0</v>
      </c>
      <c r="Q131">
        <v>50.0</v>
      </c>
      <c r="R131"/>
      <c r="S131"/>
      <c r="T131"/>
      <c r="U131"/>
      <c r="V131"/>
      <c r="W131">
        <v>18</v>
      </c>
    </row>
    <row r="132" spans="1:23">
      <c r="A132"/>
      <c r="B132" t="s">
        <v>58</v>
      </c>
      <c r="C132" t="s">
        <v>58</v>
      </c>
      <c r="D132" t="s">
        <v>33</v>
      </c>
      <c r="E132" t="s">
        <v>34</v>
      </c>
      <c r="F132" t="str">
        <f>"0016690"</f>
        <v>0016690</v>
      </c>
      <c r="G132">
        <v>1</v>
      </c>
      <c r="H132" t="str">
        <f>"26601694"</f>
        <v>26601694</v>
      </c>
      <c r="I132" t="s">
        <v>61</v>
      </c>
      <c r="J132"/>
      <c r="K132">
        <v>12.71</v>
      </c>
      <c r="L132">
        <v>0.0</v>
      </c>
      <c r="M132"/>
      <c r="N132"/>
      <c r="O132">
        <v>2.29</v>
      </c>
      <c r="P132">
        <v>0.0</v>
      </c>
      <c r="Q132">
        <v>15.0</v>
      </c>
      <c r="R132"/>
      <c r="S132"/>
      <c r="T132"/>
      <c r="U132"/>
      <c r="V132"/>
      <c r="W132">
        <v>18</v>
      </c>
    </row>
    <row r="133" spans="1:23">
      <c r="A133"/>
      <c r="B133" t="s">
        <v>58</v>
      </c>
      <c r="C133" t="s">
        <v>58</v>
      </c>
      <c r="D133" t="s">
        <v>33</v>
      </c>
      <c r="E133" t="s">
        <v>34</v>
      </c>
      <c r="F133" t="str">
        <f>"0016691"</f>
        <v>0016691</v>
      </c>
      <c r="G133">
        <v>1</v>
      </c>
      <c r="H133" t="str">
        <f>"00000001"</f>
        <v>00000001</v>
      </c>
      <c r="I133" t="s">
        <v>35</v>
      </c>
      <c r="J133"/>
      <c r="K133">
        <v>4.24</v>
      </c>
      <c r="L133">
        <v>0.0</v>
      </c>
      <c r="M133"/>
      <c r="N133"/>
      <c r="O133">
        <v>0.76</v>
      </c>
      <c r="P133">
        <v>0.0</v>
      </c>
      <c r="Q133">
        <v>5.0</v>
      </c>
      <c r="R133"/>
      <c r="S133"/>
      <c r="T133"/>
      <c r="U133"/>
      <c r="V133"/>
      <c r="W133">
        <v>18</v>
      </c>
    </row>
    <row r="134" spans="1:23">
      <c r="A134"/>
      <c r="B134" t="s">
        <v>58</v>
      </c>
      <c r="C134" t="s">
        <v>58</v>
      </c>
      <c r="D134" t="s">
        <v>33</v>
      </c>
      <c r="E134" t="s">
        <v>34</v>
      </c>
      <c r="F134" t="str">
        <f>"0016692"</f>
        <v>0016692</v>
      </c>
      <c r="G134">
        <v>6</v>
      </c>
      <c r="H134" t="str">
        <f>"20610600787"</f>
        <v>20610600787</v>
      </c>
      <c r="I134" t="s">
        <v>55</v>
      </c>
      <c r="J134"/>
      <c r="K134">
        <v>42.37</v>
      </c>
      <c r="L134">
        <v>0.0</v>
      </c>
      <c r="M134"/>
      <c r="N134"/>
      <c r="O134">
        <v>7.63</v>
      </c>
      <c r="P134">
        <v>0.0</v>
      </c>
      <c r="Q134">
        <v>50.0</v>
      </c>
      <c r="R134"/>
      <c r="S134"/>
      <c r="T134"/>
      <c r="U134"/>
      <c r="V134"/>
      <c r="W134">
        <v>18</v>
      </c>
    </row>
    <row r="135" spans="1:23">
      <c r="A135"/>
      <c r="B135" t="s">
        <v>58</v>
      </c>
      <c r="C135" t="s">
        <v>58</v>
      </c>
      <c r="D135" t="s">
        <v>33</v>
      </c>
      <c r="E135" t="s">
        <v>34</v>
      </c>
      <c r="F135" t="str">
        <f>"0016693"</f>
        <v>0016693</v>
      </c>
      <c r="G135">
        <v>6</v>
      </c>
      <c r="H135" t="str">
        <f>"20610600787"</f>
        <v>20610600787</v>
      </c>
      <c r="I135" t="s">
        <v>55</v>
      </c>
      <c r="J135"/>
      <c r="K135">
        <v>42.37</v>
      </c>
      <c r="L135">
        <v>0.0</v>
      </c>
      <c r="M135"/>
      <c r="N135"/>
      <c r="O135">
        <v>7.63</v>
      </c>
      <c r="P135">
        <v>0.0</v>
      </c>
      <c r="Q135">
        <v>50.0</v>
      </c>
      <c r="R135"/>
      <c r="S135"/>
      <c r="T135"/>
      <c r="U135"/>
      <c r="V135"/>
      <c r="W135">
        <v>18</v>
      </c>
    </row>
    <row r="136" spans="1:23">
      <c r="A136"/>
      <c r="B136" t="s">
        <v>58</v>
      </c>
      <c r="C136" t="s">
        <v>58</v>
      </c>
      <c r="D136" t="s">
        <v>33</v>
      </c>
      <c r="E136" t="s">
        <v>34</v>
      </c>
      <c r="F136" t="str">
        <f>"0016694"</f>
        <v>0016694</v>
      </c>
      <c r="G136">
        <v>1</v>
      </c>
      <c r="H136" t="str">
        <f>"00000001"</f>
        <v>00000001</v>
      </c>
      <c r="I136" t="s">
        <v>35</v>
      </c>
      <c r="J136"/>
      <c r="K136">
        <v>8.47</v>
      </c>
      <c r="L136">
        <v>0.0</v>
      </c>
      <c r="M136"/>
      <c r="N136"/>
      <c r="O136">
        <v>1.53</v>
      </c>
      <c r="P136">
        <v>0.0</v>
      </c>
      <c r="Q136">
        <v>10.0</v>
      </c>
      <c r="R136"/>
      <c r="S136"/>
      <c r="T136"/>
      <c r="U136"/>
      <c r="V136"/>
      <c r="W136">
        <v>18</v>
      </c>
    </row>
    <row r="137" spans="1:23">
      <c r="A137"/>
      <c r="B137" t="s">
        <v>58</v>
      </c>
      <c r="C137" t="s">
        <v>58</v>
      </c>
      <c r="D137" t="s">
        <v>33</v>
      </c>
      <c r="E137" t="s">
        <v>34</v>
      </c>
      <c r="F137" t="str">
        <f>"0016695"</f>
        <v>0016695</v>
      </c>
      <c r="G137">
        <v>6</v>
      </c>
      <c r="H137" t="str">
        <f>"20608473174"</f>
        <v>20608473174</v>
      </c>
      <c r="I137" t="s">
        <v>59</v>
      </c>
      <c r="J137"/>
      <c r="K137">
        <v>42.37</v>
      </c>
      <c r="L137">
        <v>0.0</v>
      </c>
      <c r="M137"/>
      <c r="N137"/>
      <c r="O137">
        <v>7.63</v>
      </c>
      <c r="P137">
        <v>0.0</v>
      </c>
      <c r="Q137">
        <v>50.0</v>
      </c>
      <c r="R137"/>
      <c r="S137"/>
      <c r="T137"/>
      <c r="U137"/>
      <c r="V137"/>
      <c r="W137">
        <v>18</v>
      </c>
    </row>
    <row r="138" spans="1:23">
      <c r="A138"/>
      <c r="B138" t="s">
        <v>62</v>
      </c>
      <c r="C138" t="s">
        <v>62</v>
      </c>
      <c r="D138" t="s">
        <v>33</v>
      </c>
      <c r="E138" t="s">
        <v>34</v>
      </c>
      <c r="F138" t="str">
        <f>"0016696"</f>
        <v>0016696</v>
      </c>
      <c r="G138">
        <v>1</v>
      </c>
      <c r="H138" t="str">
        <f>"00000001"</f>
        <v>00000001</v>
      </c>
      <c r="I138" t="s">
        <v>35</v>
      </c>
      <c r="J138"/>
      <c r="K138">
        <v>20.76</v>
      </c>
      <c r="L138">
        <v>0.0</v>
      </c>
      <c r="M138"/>
      <c r="N138"/>
      <c r="O138">
        <v>3.74</v>
      </c>
      <c r="P138">
        <v>0.0</v>
      </c>
      <c r="Q138">
        <v>24.5</v>
      </c>
      <c r="R138"/>
      <c r="S138"/>
      <c r="T138"/>
      <c r="U138"/>
      <c r="V138"/>
      <c r="W138">
        <v>18</v>
      </c>
    </row>
    <row r="139" spans="1:23">
      <c r="A139"/>
      <c r="B139" t="s">
        <v>62</v>
      </c>
      <c r="C139" t="s">
        <v>62</v>
      </c>
      <c r="D139" t="s">
        <v>33</v>
      </c>
      <c r="E139" t="s">
        <v>34</v>
      </c>
      <c r="F139" t="str">
        <f>"0016697"</f>
        <v>0016697</v>
      </c>
      <c r="G139">
        <v>6</v>
      </c>
      <c r="H139" t="str">
        <f>"20148260843"</f>
        <v>20148260843</v>
      </c>
      <c r="I139" t="s">
        <v>63</v>
      </c>
      <c r="J139"/>
      <c r="K139">
        <v>15.25</v>
      </c>
      <c r="L139">
        <v>0.0</v>
      </c>
      <c r="M139"/>
      <c r="N139"/>
      <c r="O139">
        <v>2.75</v>
      </c>
      <c r="P139">
        <v>0.0</v>
      </c>
      <c r="Q139">
        <v>18.0</v>
      </c>
      <c r="R139"/>
      <c r="S139"/>
      <c r="T139"/>
      <c r="U139"/>
      <c r="V139"/>
      <c r="W139">
        <v>18</v>
      </c>
    </row>
    <row r="140" spans="1:23">
      <c r="A140"/>
      <c r="B140" t="s">
        <v>62</v>
      </c>
      <c r="C140" t="s">
        <v>62</v>
      </c>
      <c r="D140" t="s">
        <v>33</v>
      </c>
      <c r="E140" t="s">
        <v>34</v>
      </c>
      <c r="F140" t="str">
        <f>"0016698"</f>
        <v>0016698</v>
      </c>
      <c r="G140">
        <v>1</v>
      </c>
      <c r="H140" t="str">
        <f>"00000001"</f>
        <v>00000001</v>
      </c>
      <c r="I140" t="s">
        <v>35</v>
      </c>
      <c r="J140"/>
      <c r="K140">
        <v>18.64</v>
      </c>
      <c r="L140">
        <v>0.0</v>
      </c>
      <c r="M140"/>
      <c r="N140"/>
      <c r="O140">
        <v>3.36</v>
      </c>
      <c r="P140">
        <v>0.0</v>
      </c>
      <c r="Q140">
        <v>22.0</v>
      </c>
      <c r="R140"/>
      <c r="S140"/>
      <c r="T140"/>
      <c r="U140"/>
      <c r="V140"/>
      <c r="W140">
        <v>18</v>
      </c>
    </row>
    <row r="141" spans="1:23">
      <c r="A141"/>
      <c r="B141" t="s">
        <v>62</v>
      </c>
      <c r="C141" t="s">
        <v>62</v>
      </c>
      <c r="D141" t="s">
        <v>33</v>
      </c>
      <c r="E141" t="s">
        <v>34</v>
      </c>
      <c r="F141" t="str">
        <f>"0016699"</f>
        <v>0016699</v>
      </c>
      <c r="G141">
        <v>1</v>
      </c>
      <c r="H141" t="str">
        <f>"00000001"</f>
        <v>00000001</v>
      </c>
      <c r="I141" t="s">
        <v>35</v>
      </c>
      <c r="J141"/>
      <c r="K141">
        <v>35.59</v>
      </c>
      <c r="L141">
        <v>0.0</v>
      </c>
      <c r="M141"/>
      <c r="N141"/>
      <c r="O141">
        <v>6.41</v>
      </c>
      <c r="P141">
        <v>0.0</v>
      </c>
      <c r="Q141">
        <v>42.0</v>
      </c>
      <c r="R141"/>
      <c r="S141"/>
      <c r="T141"/>
      <c r="U141"/>
      <c r="V141"/>
      <c r="W141">
        <v>18</v>
      </c>
    </row>
    <row r="142" spans="1:23">
      <c r="A142"/>
      <c r="B142" t="s">
        <v>62</v>
      </c>
      <c r="C142" t="s">
        <v>62</v>
      </c>
      <c r="D142" t="s">
        <v>33</v>
      </c>
      <c r="E142" t="s">
        <v>34</v>
      </c>
      <c r="F142" t="str">
        <f>"0016700"</f>
        <v>0016700</v>
      </c>
      <c r="G142">
        <v>1</v>
      </c>
      <c r="H142" t="str">
        <f>"000000SC"</f>
        <v>000000SC</v>
      </c>
      <c r="I142" t="s">
        <v>64</v>
      </c>
      <c r="J142"/>
      <c r="K142">
        <v>10.17</v>
      </c>
      <c r="L142">
        <v>0.0</v>
      </c>
      <c r="M142"/>
      <c r="N142"/>
      <c r="O142">
        <v>1.83</v>
      </c>
      <c r="P142">
        <v>0.0</v>
      </c>
      <c r="Q142">
        <v>12.0</v>
      </c>
      <c r="R142"/>
      <c r="S142"/>
      <c r="T142"/>
      <c r="U142"/>
      <c r="V142"/>
      <c r="W142">
        <v>18</v>
      </c>
    </row>
    <row r="143" spans="1:23">
      <c r="A143"/>
      <c r="B143" t="s">
        <v>62</v>
      </c>
      <c r="C143" t="s">
        <v>62</v>
      </c>
      <c r="D143" t="s">
        <v>33</v>
      </c>
      <c r="E143" t="s">
        <v>34</v>
      </c>
      <c r="F143" t="str">
        <f>"0016701"</f>
        <v>0016701</v>
      </c>
      <c r="G143">
        <v>1</v>
      </c>
      <c r="H143" t="str">
        <f>"00000001"</f>
        <v>00000001</v>
      </c>
      <c r="I143" t="s">
        <v>35</v>
      </c>
      <c r="J143"/>
      <c r="K143">
        <v>6.36</v>
      </c>
      <c r="L143">
        <v>0.0</v>
      </c>
      <c r="M143"/>
      <c r="N143"/>
      <c r="O143">
        <v>1.14</v>
      </c>
      <c r="P143">
        <v>0.0</v>
      </c>
      <c r="Q143">
        <v>7.5</v>
      </c>
      <c r="R143"/>
      <c r="S143"/>
      <c r="T143"/>
      <c r="U143"/>
      <c r="V143"/>
      <c r="W143">
        <v>18</v>
      </c>
    </row>
    <row r="144" spans="1:23">
      <c r="A144"/>
      <c r="B144" t="s">
        <v>62</v>
      </c>
      <c r="C144" t="s">
        <v>62</v>
      </c>
      <c r="D144" t="s">
        <v>33</v>
      </c>
      <c r="E144" t="s">
        <v>34</v>
      </c>
      <c r="F144" t="str">
        <f>"0016702"</f>
        <v>0016702</v>
      </c>
      <c r="G144">
        <v>1</v>
      </c>
      <c r="H144" t="str">
        <f>"00000001"</f>
        <v>00000001</v>
      </c>
      <c r="I144" t="s">
        <v>35</v>
      </c>
      <c r="J144"/>
      <c r="K144">
        <v>24.58</v>
      </c>
      <c r="L144">
        <v>0.0</v>
      </c>
      <c r="M144"/>
      <c r="N144"/>
      <c r="O144">
        <v>4.42</v>
      </c>
      <c r="P144">
        <v>0.0</v>
      </c>
      <c r="Q144">
        <v>29.0</v>
      </c>
      <c r="R144"/>
      <c r="S144"/>
      <c r="T144"/>
      <c r="U144"/>
      <c r="V144"/>
      <c r="W144">
        <v>18</v>
      </c>
    </row>
    <row r="145" spans="1:23">
      <c r="A145"/>
      <c r="B145" t="s">
        <v>62</v>
      </c>
      <c r="C145" t="s">
        <v>62</v>
      </c>
      <c r="D145" t="s">
        <v>33</v>
      </c>
      <c r="E145" t="s">
        <v>34</v>
      </c>
      <c r="F145" t="str">
        <f>"0016703"</f>
        <v>0016703</v>
      </c>
      <c r="G145">
        <v>1</v>
      </c>
      <c r="H145" t="str">
        <f>"00000001"</f>
        <v>00000001</v>
      </c>
      <c r="I145" t="s">
        <v>35</v>
      </c>
      <c r="J145"/>
      <c r="K145">
        <v>22.88</v>
      </c>
      <c r="L145">
        <v>0.0</v>
      </c>
      <c r="M145"/>
      <c r="N145"/>
      <c r="O145">
        <v>4.12</v>
      </c>
      <c r="P145">
        <v>0.0</v>
      </c>
      <c r="Q145">
        <v>27.0</v>
      </c>
      <c r="R145"/>
      <c r="S145"/>
      <c r="T145"/>
      <c r="U145"/>
      <c r="V145"/>
      <c r="W145">
        <v>18</v>
      </c>
    </row>
    <row r="146" spans="1:23">
      <c r="A146"/>
      <c r="B146" t="s">
        <v>62</v>
      </c>
      <c r="C146" t="s">
        <v>62</v>
      </c>
      <c r="D146" t="s">
        <v>33</v>
      </c>
      <c r="E146" t="s">
        <v>34</v>
      </c>
      <c r="F146" t="str">
        <f>"0016704"</f>
        <v>0016704</v>
      </c>
      <c r="G146">
        <v>1</v>
      </c>
      <c r="H146" t="str">
        <f>"00000001"</f>
        <v>00000001</v>
      </c>
      <c r="I146" t="s">
        <v>35</v>
      </c>
      <c r="J146"/>
      <c r="K146">
        <v>11.86</v>
      </c>
      <c r="L146">
        <v>0.0</v>
      </c>
      <c r="M146"/>
      <c r="N146"/>
      <c r="O146">
        <v>2.14</v>
      </c>
      <c r="P146">
        <v>0.0</v>
      </c>
      <c r="Q146">
        <v>14.0</v>
      </c>
      <c r="R146"/>
      <c r="S146"/>
      <c r="T146"/>
      <c r="U146"/>
      <c r="V146"/>
      <c r="W146">
        <v>18</v>
      </c>
    </row>
    <row r="147" spans="1:23">
      <c r="A147"/>
      <c r="B147" t="s">
        <v>62</v>
      </c>
      <c r="C147" t="s">
        <v>62</v>
      </c>
      <c r="D147" t="s">
        <v>33</v>
      </c>
      <c r="E147" t="s">
        <v>34</v>
      </c>
      <c r="F147" t="str">
        <f>"0016705"</f>
        <v>0016705</v>
      </c>
      <c r="G147">
        <v>1</v>
      </c>
      <c r="H147" t="str">
        <f>"00000001"</f>
        <v>00000001</v>
      </c>
      <c r="I147" t="s">
        <v>35</v>
      </c>
      <c r="J147"/>
      <c r="K147">
        <v>10.17</v>
      </c>
      <c r="L147">
        <v>0.0</v>
      </c>
      <c r="M147"/>
      <c r="N147"/>
      <c r="O147">
        <v>1.83</v>
      </c>
      <c r="P147">
        <v>0.0</v>
      </c>
      <c r="Q147">
        <v>12.0</v>
      </c>
      <c r="R147"/>
      <c r="S147"/>
      <c r="T147"/>
      <c r="U147"/>
      <c r="V147"/>
      <c r="W147">
        <v>18</v>
      </c>
    </row>
    <row r="148" spans="1:23">
      <c r="A148"/>
      <c r="B148" t="s">
        <v>62</v>
      </c>
      <c r="C148" t="s">
        <v>62</v>
      </c>
      <c r="D148" t="s">
        <v>33</v>
      </c>
      <c r="E148" t="s">
        <v>34</v>
      </c>
      <c r="F148" t="str">
        <f>"0016706"</f>
        <v>0016706</v>
      </c>
      <c r="G148">
        <v>1</v>
      </c>
      <c r="H148" t="str">
        <f>"00000001"</f>
        <v>00000001</v>
      </c>
      <c r="I148" t="s">
        <v>35</v>
      </c>
      <c r="J148"/>
      <c r="K148">
        <v>4.24</v>
      </c>
      <c r="L148">
        <v>0.0</v>
      </c>
      <c r="M148"/>
      <c r="N148"/>
      <c r="O148">
        <v>0.76</v>
      </c>
      <c r="P148">
        <v>0.0</v>
      </c>
      <c r="Q148">
        <v>5.0</v>
      </c>
      <c r="R148"/>
      <c r="S148"/>
      <c r="T148"/>
      <c r="U148"/>
      <c r="V148"/>
      <c r="W148">
        <v>18</v>
      </c>
    </row>
    <row r="149" spans="1:23">
      <c r="A149"/>
      <c r="B149" t="s">
        <v>62</v>
      </c>
      <c r="C149" t="s">
        <v>62</v>
      </c>
      <c r="D149" t="s">
        <v>33</v>
      </c>
      <c r="E149" t="s">
        <v>34</v>
      </c>
      <c r="F149" t="str">
        <f>"0016707"</f>
        <v>0016707</v>
      </c>
      <c r="G149">
        <v>6</v>
      </c>
      <c r="H149" t="str">
        <f>"20612250066"</f>
        <v>20612250066</v>
      </c>
      <c r="I149" t="s">
        <v>53</v>
      </c>
      <c r="J149"/>
      <c r="K149">
        <v>42.37</v>
      </c>
      <c r="L149">
        <v>0.0</v>
      </c>
      <c r="M149"/>
      <c r="N149"/>
      <c r="O149">
        <v>7.63</v>
      </c>
      <c r="P149">
        <v>0.0</v>
      </c>
      <c r="Q149">
        <v>50.0</v>
      </c>
      <c r="R149"/>
      <c r="S149"/>
      <c r="T149"/>
      <c r="U149"/>
      <c r="V149"/>
      <c r="W149">
        <v>18</v>
      </c>
    </row>
    <row r="150" spans="1:23">
      <c r="A150"/>
      <c r="B150" t="s">
        <v>62</v>
      </c>
      <c r="C150" t="s">
        <v>62</v>
      </c>
      <c r="D150" t="s">
        <v>33</v>
      </c>
      <c r="E150" t="s">
        <v>34</v>
      </c>
      <c r="F150" t="str">
        <f>"0016708"</f>
        <v>0016708</v>
      </c>
      <c r="G150">
        <v>1</v>
      </c>
      <c r="H150" t="str">
        <f>"00000001"</f>
        <v>00000001</v>
      </c>
      <c r="I150" t="s">
        <v>35</v>
      </c>
      <c r="J150"/>
      <c r="K150">
        <v>2.54</v>
      </c>
      <c r="L150">
        <v>0.0</v>
      </c>
      <c r="M150"/>
      <c r="N150"/>
      <c r="O150">
        <v>0.46</v>
      </c>
      <c r="P150">
        <v>0.0</v>
      </c>
      <c r="Q150">
        <v>3.0</v>
      </c>
      <c r="R150"/>
      <c r="S150"/>
      <c r="T150"/>
      <c r="U150"/>
      <c r="V150"/>
      <c r="W150">
        <v>18</v>
      </c>
    </row>
    <row r="151" spans="1:23">
      <c r="A151"/>
      <c r="B151" t="s">
        <v>62</v>
      </c>
      <c r="C151" t="s">
        <v>62</v>
      </c>
      <c r="D151" t="s">
        <v>33</v>
      </c>
      <c r="E151" t="s">
        <v>34</v>
      </c>
      <c r="F151" t="str">
        <f>"0016709"</f>
        <v>0016709</v>
      </c>
      <c r="G151">
        <v>1</v>
      </c>
      <c r="H151" t="str">
        <f>"00000001"</f>
        <v>00000001</v>
      </c>
      <c r="I151" t="s">
        <v>35</v>
      </c>
      <c r="J151"/>
      <c r="K151">
        <v>16.95</v>
      </c>
      <c r="L151">
        <v>0.0</v>
      </c>
      <c r="M151"/>
      <c r="N151"/>
      <c r="O151">
        <v>3.05</v>
      </c>
      <c r="P151">
        <v>0.0</v>
      </c>
      <c r="Q151">
        <v>20.0</v>
      </c>
      <c r="R151"/>
      <c r="S151"/>
      <c r="T151"/>
      <c r="U151"/>
      <c r="V151"/>
      <c r="W151">
        <v>18</v>
      </c>
    </row>
    <row r="152" spans="1:23">
      <c r="A152"/>
      <c r="B152" t="s">
        <v>62</v>
      </c>
      <c r="C152" t="s">
        <v>62</v>
      </c>
      <c r="D152" t="s">
        <v>33</v>
      </c>
      <c r="E152" t="s">
        <v>34</v>
      </c>
      <c r="F152" t="str">
        <f>"0016710"</f>
        <v>0016710</v>
      </c>
      <c r="G152">
        <v>1</v>
      </c>
      <c r="H152" t="str">
        <f>"00000001"</f>
        <v>00000001</v>
      </c>
      <c r="I152" t="s">
        <v>35</v>
      </c>
      <c r="J152"/>
      <c r="K152">
        <v>16.95</v>
      </c>
      <c r="L152">
        <v>0.0</v>
      </c>
      <c r="M152"/>
      <c r="N152"/>
      <c r="O152">
        <v>3.05</v>
      </c>
      <c r="P152">
        <v>0.0</v>
      </c>
      <c r="Q152">
        <v>20.0</v>
      </c>
      <c r="R152"/>
      <c r="S152"/>
      <c r="T152"/>
      <c r="U152"/>
      <c r="V152"/>
      <c r="W152">
        <v>18</v>
      </c>
    </row>
    <row r="153" spans="1:23">
      <c r="A153"/>
      <c r="B153" t="s">
        <v>62</v>
      </c>
      <c r="C153" t="s">
        <v>62</v>
      </c>
      <c r="D153" t="s">
        <v>33</v>
      </c>
      <c r="E153" t="s">
        <v>34</v>
      </c>
      <c r="F153" t="str">
        <f>"0016711"</f>
        <v>0016711</v>
      </c>
      <c r="G153">
        <v>1</v>
      </c>
      <c r="H153" t="str">
        <f>"00000001"</f>
        <v>00000001</v>
      </c>
      <c r="I153" t="s">
        <v>35</v>
      </c>
      <c r="J153"/>
      <c r="K153">
        <v>2.97</v>
      </c>
      <c r="L153">
        <v>0.0</v>
      </c>
      <c r="M153"/>
      <c r="N153"/>
      <c r="O153">
        <v>0.53</v>
      </c>
      <c r="P153">
        <v>0.0</v>
      </c>
      <c r="Q153">
        <v>3.5</v>
      </c>
      <c r="R153"/>
      <c r="S153"/>
      <c r="T153"/>
      <c r="U153"/>
      <c r="V153"/>
      <c r="W153">
        <v>18</v>
      </c>
    </row>
    <row r="154" spans="1:23">
      <c r="A154"/>
      <c r="B154" t="s">
        <v>62</v>
      </c>
      <c r="C154" t="s">
        <v>62</v>
      </c>
      <c r="D154" t="s">
        <v>33</v>
      </c>
      <c r="E154" t="s">
        <v>34</v>
      </c>
      <c r="F154" t="str">
        <f>"0016712"</f>
        <v>0016712</v>
      </c>
      <c r="G154">
        <v>1</v>
      </c>
      <c r="H154" t="str">
        <f>"00000001"</f>
        <v>00000001</v>
      </c>
      <c r="I154" t="s">
        <v>35</v>
      </c>
      <c r="J154"/>
      <c r="K154">
        <v>4.66</v>
      </c>
      <c r="L154">
        <v>0.0</v>
      </c>
      <c r="M154"/>
      <c r="N154"/>
      <c r="O154">
        <v>0.84</v>
      </c>
      <c r="P154">
        <v>0.0</v>
      </c>
      <c r="Q154">
        <v>5.5</v>
      </c>
      <c r="R154"/>
      <c r="S154"/>
      <c r="T154"/>
      <c r="U154"/>
      <c r="V154"/>
      <c r="W154">
        <v>18</v>
      </c>
    </row>
    <row r="155" spans="1:23">
      <c r="A155"/>
      <c r="B155" t="s">
        <v>62</v>
      </c>
      <c r="C155" t="s">
        <v>62</v>
      </c>
      <c r="D155" t="s">
        <v>33</v>
      </c>
      <c r="E155" t="s">
        <v>34</v>
      </c>
      <c r="F155" t="str">
        <f>"0016713"</f>
        <v>0016713</v>
      </c>
      <c r="G155">
        <v>1</v>
      </c>
      <c r="H155" t="str">
        <f>"00000001"</f>
        <v>00000001</v>
      </c>
      <c r="I155" t="s">
        <v>35</v>
      </c>
      <c r="J155"/>
      <c r="K155">
        <v>6.78</v>
      </c>
      <c r="L155">
        <v>0.0</v>
      </c>
      <c r="M155"/>
      <c r="N155"/>
      <c r="O155">
        <v>1.22</v>
      </c>
      <c r="P155">
        <v>0.0</v>
      </c>
      <c r="Q155">
        <v>8.0</v>
      </c>
      <c r="R155"/>
      <c r="S155"/>
      <c r="T155"/>
      <c r="U155"/>
      <c r="V155"/>
      <c r="W155">
        <v>18</v>
      </c>
    </row>
    <row r="156" spans="1:23">
      <c r="A156"/>
      <c r="B156" t="s">
        <v>62</v>
      </c>
      <c r="C156" t="s">
        <v>62</v>
      </c>
      <c r="D156" t="s">
        <v>33</v>
      </c>
      <c r="E156" t="s">
        <v>34</v>
      </c>
      <c r="F156" t="str">
        <f>"0016714"</f>
        <v>0016714</v>
      </c>
      <c r="G156">
        <v>1</v>
      </c>
      <c r="H156" t="str">
        <f>"00000001"</f>
        <v>00000001</v>
      </c>
      <c r="I156" t="s">
        <v>35</v>
      </c>
      <c r="J156"/>
      <c r="K156">
        <v>50.85</v>
      </c>
      <c r="L156">
        <v>0.0</v>
      </c>
      <c r="M156"/>
      <c r="N156"/>
      <c r="O156">
        <v>9.15</v>
      </c>
      <c r="P156">
        <v>0.0</v>
      </c>
      <c r="Q156">
        <v>60.0</v>
      </c>
      <c r="R156"/>
      <c r="S156"/>
      <c r="T156"/>
      <c r="U156"/>
      <c r="V156"/>
      <c r="W156">
        <v>18</v>
      </c>
    </row>
    <row r="157" spans="1:23">
      <c r="A157"/>
      <c r="B157" t="s">
        <v>62</v>
      </c>
      <c r="C157" t="s">
        <v>62</v>
      </c>
      <c r="D157" t="s">
        <v>33</v>
      </c>
      <c r="E157" t="s">
        <v>34</v>
      </c>
      <c r="F157" t="str">
        <f>"0016715"</f>
        <v>0016715</v>
      </c>
      <c r="G157">
        <v>1</v>
      </c>
      <c r="H157" t="str">
        <f>"00000001"</f>
        <v>00000001</v>
      </c>
      <c r="I157" t="s">
        <v>35</v>
      </c>
      <c r="J157"/>
      <c r="K157">
        <v>37.71</v>
      </c>
      <c r="L157">
        <v>0.0</v>
      </c>
      <c r="M157"/>
      <c r="N157"/>
      <c r="O157">
        <v>6.79</v>
      </c>
      <c r="P157">
        <v>0.0</v>
      </c>
      <c r="Q157">
        <v>44.5</v>
      </c>
      <c r="R157"/>
      <c r="S157"/>
      <c r="T157"/>
      <c r="U157"/>
      <c r="V157"/>
      <c r="W157">
        <v>18</v>
      </c>
    </row>
    <row r="158" spans="1:23">
      <c r="A158"/>
      <c r="B158" t="s">
        <v>62</v>
      </c>
      <c r="C158" t="s">
        <v>62</v>
      </c>
      <c r="D158" t="s">
        <v>33</v>
      </c>
      <c r="E158" t="s">
        <v>34</v>
      </c>
      <c r="F158" t="str">
        <f>"0016716"</f>
        <v>0016716</v>
      </c>
      <c r="G158">
        <v>1</v>
      </c>
      <c r="H158" t="str">
        <f>"00000001"</f>
        <v>00000001</v>
      </c>
      <c r="I158" t="s">
        <v>35</v>
      </c>
      <c r="J158"/>
      <c r="K158">
        <v>13.56</v>
      </c>
      <c r="L158">
        <v>0.0</v>
      </c>
      <c r="M158"/>
      <c r="N158"/>
      <c r="O158">
        <v>2.44</v>
      </c>
      <c r="P158">
        <v>0.0</v>
      </c>
      <c r="Q158">
        <v>16.0</v>
      </c>
      <c r="R158"/>
      <c r="S158"/>
      <c r="T158"/>
      <c r="U158"/>
      <c r="V158"/>
      <c r="W158">
        <v>18</v>
      </c>
    </row>
    <row r="159" spans="1:23">
      <c r="A159"/>
      <c r="B159" t="s">
        <v>62</v>
      </c>
      <c r="C159" t="s">
        <v>62</v>
      </c>
      <c r="D159" t="s">
        <v>33</v>
      </c>
      <c r="E159" t="s">
        <v>34</v>
      </c>
      <c r="F159" t="str">
        <f>"0016717"</f>
        <v>0016717</v>
      </c>
      <c r="G159">
        <v>1</v>
      </c>
      <c r="H159" t="str">
        <f>"00000001"</f>
        <v>00000001</v>
      </c>
      <c r="I159" t="s">
        <v>35</v>
      </c>
      <c r="J159"/>
      <c r="K159">
        <v>32.2</v>
      </c>
      <c r="L159">
        <v>0.0</v>
      </c>
      <c r="M159"/>
      <c r="N159"/>
      <c r="O159">
        <v>5.8</v>
      </c>
      <c r="P159">
        <v>0.0</v>
      </c>
      <c r="Q159">
        <v>38.0</v>
      </c>
      <c r="R159"/>
      <c r="S159"/>
      <c r="T159"/>
      <c r="U159"/>
      <c r="V159"/>
      <c r="W159">
        <v>18</v>
      </c>
    </row>
    <row r="160" spans="1:23">
      <c r="A160"/>
      <c r="B160" t="s">
        <v>62</v>
      </c>
      <c r="C160" t="s">
        <v>62</v>
      </c>
      <c r="D160" t="s">
        <v>33</v>
      </c>
      <c r="E160" t="s">
        <v>34</v>
      </c>
      <c r="F160" t="str">
        <f>"0016718"</f>
        <v>0016718</v>
      </c>
      <c r="G160">
        <v>1</v>
      </c>
      <c r="H160" t="str">
        <f>"COMISARI"</f>
        <v>COMISARI</v>
      </c>
      <c r="I160" t="s">
        <v>65</v>
      </c>
      <c r="J160"/>
      <c r="K160">
        <v>5.08</v>
      </c>
      <c r="L160">
        <v>0.0</v>
      </c>
      <c r="M160"/>
      <c r="N160"/>
      <c r="O160">
        <v>0.92</v>
      </c>
      <c r="P160">
        <v>0.0</v>
      </c>
      <c r="Q160">
        <v>6.0</v>
      </c>
      <c r="R160"/>
      <c r="S160"/>
      <c r="T160"/>
      <c r="U160"/>
      <c r="V160"/>
      <c r="W160">
        <v>18</v>
      </c>
    </row>
    <row r="161" spans="1:23">
      <c r="A161"/>
      <c r="B161" t="s">
        <v>62</v>
      </c>
      <c r="C161" t="s">
        <v>62</v>
      </c>
      <c r="D161" t="s">
        <v>33</v>
      </c>
      <c r="E161" t="s">
        <v>34</v>
      </c>
      <c r="F161" t="str">
        <f>"0016719"</f>
        <v>0016719</v>
      </c>
      <c r="G161">
        <v>1</v>
      </c>
      <c r="H161" t="str">
        <f>"00000001"</f>
        <v>00000001</v>
      </c>
      <c r="I161" t="s">
        <v>35</v>
      </c>
      <c r="J161"/>
      <c r="K161">
        <v>22.03</v>
      </c>
      <c r="L161">
        <v>0.0</v>
      </c>
      <c r="M161"/>
      <c r="N161"/>
      <c r="O161">
        <v>3.97</v>
      </c>
      <c r="P161">
        <v>0.0</v>
      </c>
      <c r="Q161">
        <v>26.0</v>
      </c>
      <c r="R161"/>
      <c r="S161"/>
      <c r="T161"/>
      <c r="U161"/>
      <c r="V161"/>
      <c r="W161">
        <v>18</v>
      </c>
    </row>
    <row r="162" spans="1:23">
      <c r="A162"/>
      <c r="B162" t="s">
        <v>62</v>
      </c>
      <c r="C162" t="s">
        <v>62</v>
      </c>
      <c r="D162" t="s">
        <v>33</v>
      </c>
      <c r="E162" t="s">
        <v>34</v>
      </c>
      <c r="F162" t="str">
        <f>"0016720"</f>
        <v>0016720</v>
      </c>
      <c r="G162">
        <v>1</v>
      </c>
      <c r="H162" t="str">
        <f>"00000001"</f>
        <v>00000001</v>
      </c>
      <c r="I162" t="s">
        <v>35</v>
      </c>
      <c r="J162"/>
      <c r="K162">
        <v>14.83</v>
      </c>
      <c r="L162">
        <v>0.0</v>
      </c>
      <c r="M162"/>
      <c r="N162"/>
      <c r="O162">
        <v>2.67</v>
      </c>
      <c r="P162">
        <v>0.0</v>
      </c>
      <c r="Q162">
        <v>17.5</v>
      </c>
      <c r="R162"/>
      <c r="S162"/>
      <c r="T162"/>
      <c r="U162"/>
      <c r="V162"/>
      <c r="W162">
        <v>18</v>
      </c>
    </row>
    <row r="163" spans="1:23">
      <c r="A163"/>
      <c r="B163" t="s">
        <v>62</v>
      </c>
      <c r="C163" t="s">
        <v>62</v>
      </c>
      <c r="D163" t="s">
        <v>33</v>
      </c>
      <c r="E163" t="s">
        <v>34</v>
      </c>
      <c r="F163" t="str">
        <f>"0016721"</f>
        <v>0016721</v>
      </c>
      <c r="G163">
        <v>1</v>
      </c>
      <c r="H163" t="str">
        <f>"00000001"</f>
        <v>00000001</v>
      </c>
      <c r="I163" t="s">
        <v>35</v>
      </c>
      <c r="J163"/>
      <c r="K163">
        <v>45.34</v>
      </c>
      <c r="L163">
        <v>0.0</v>
      </c>
      <c r="M163"/>
      <c r="N163"/>
      <c r="O163">
        <v>8.16</v>
      </c>
      <c r="P163">
        <v>0.0</v>
      </c>
      <c r="Q163">
        <v>53.5</v>
      </c>
      <c r="R163"/>
      <c r="S163"/>
      <c r="T163"/>
      <c r="U163"/>
      <c r="V163"/>
      <c r="W163">
        <v>18</v>
      </c>
    </row>
    <row r="164" spans="1:23">
      <c r="A164"/>
      <c r="B164" t="s">
        <v>62</v>
      </c>
      <c r="C164" t="s">
        <v>62</v>
      </c>
      <c r="D164" t="s">
        <v>33</v>
      </c>
      <c r="E164" t="s">
        <v>34</v>
      </c>
      <c r="F164" t="str">
        <f>"0016722"</f>
        <v>0016722</v>
      </c>
      <c r="G164">
        <v>1</v>
      </c>
      <c r="H164" t="str">
        <f>"00000001"</f>
        <v>00000001</v>
      </c>
      <c r="I164" t="s">
        <v>35</v>
      </c>
      <c r="J164"/>
      <c r="K164">
        <v>20.34</v>
      </c>
      <c r="L164">
        <v>0.0</v>
      </c>
      <c r="M164"/>
      <c r="N164"/>
      <c r="O164">
        <v>3.66</v>
      </c>
      <c r="P164">
        <v>0.0</v>
      </c>
      <c r="Q164">
        <v>24.0</v>
      </c>
      <c r="R164"/>
      <c r="S164"/>
      <c r="T164"/>
      <c r="U164"/>
      <c r="V164"/>
      <c r="W164">
        <v>18</v>
      </c>
    </row>
    <row r="165" spans="1:23">
      <c r="A165"/>
      <c r="B165" t="s">
        <v>62</v>
      </c>
      <c r="C165" t="s">
        <v>62</v>
      </c>
      <c r="D165" t="s">
        <v>33</v>
      </c>
      <c r="E165" t="s">
        <v>34</v>
      </c>
      <c r="F165" t="str">
        <f>"0016723"</f>
        <v>0016723</v>
      </c>
      <c r="G165">
        <v>1</v>
      </c>
      <c r="H165" t="str">
        <f>"00000001"</f>
        <v>00000001</v>
      </c>
      <c r="I165" t="s">
        <v>35</v>
      </c>
      <c r="J165"/>
      <c r="K165">
        <v>7.63</v>
      </c>
      <c r="L165">
        <v>0.0</v>
      </c>
      <c r="M165"/>
      <c r="N165"/>
      <c r="O165">
        <v>1.37</v>
      </c>
      <c r="P165">
        <v>0.0</v>
      </c>
      <c r="Q165">
        <v>9.0</v>
      </c>
      <c r="R165"/>
      <c r="S165"/>
      <c r="T165"/>
      <c r="U165"/>
      <c r="V165"/>
      <c r="W165">
        <v>18</v>
      </c>
    </row>
    <row r="166" spans="1:23">
      <c r="A166"/>
      <c r="B166" t="s">
        <v>62</v>
      </c>
      <c r="C166" t="s">
        <v>62</v>
      </c>
      <c r="D166" t="s">
        <v>33</v>
      </c>
      <c r="E166" t="s">
        <v>34</v>
      </c>
      <c r="F166" t="str">
        <f>"0016724"</f>
        <v>0016724</v>
      </c>
      <c r="G166">
        <v>1</v>
      </c>
      <c r="H166" t="str">
        <f>"00000001"</f>
        <v>00000001</v>
      </c>
      <c r="I166" t="s">
        <v>35</v>
      </c>
      <c r="J166"/>
      <c r="K166">
        <v>16.95</v>
      </c>
      <c r="L166">
        <v>0.0</v>
      </c>
      <c r="M166"/>
      <c r="N166"/>
      <c r="O166">
        <v>3.05</v>
      </c>
      <c r="P166">
        <v>0.0</v>
      </c>
      <c r="Q166">
        <v>20.0</v>
      </c>
      <c r="R166"/>
      <c r="S166"/>
      <c r="T166"/>
      <c r="U166"/>
      <c r="V166"/>
      <c r="W166">
        <v>18</v>
      </c>
    </row>
    <row r="167" spans="1:23">
      <c r="A167"/>
      <c r="B167" t="s">
        <v>62</v>
      </c>
      <c r="C167" t="s">
        <v>62</v>
      </c>
      <c r="D167" t="s">
        <v>33</v>
      </c>
      <c r="E167" t="s">
        <v>34</v>
      </c>
      <c r="F167" t="str">
        <f>"0016725"</f>
        <v>0016725</v>
      </c>
      <c r="G167">
        <v>1</v>
      </c>
      <c r="H167" t="str">
        <f>"00000001"</f>
        <v>00000001</v>
      </c>
      <c r="I167" t="s">
        <v>35</v>
      </c>
      <c r="J167"/>
      <c r="K167">
        <v>10.17</v>
      </c>
      <c r="L167">
        <v>0.0</v>
      </c>
      <c r="M167"/>
      <c r="N167"/>
      <c r="O167">
        <v>1.83</v>
      </c>
      <c r="P167">
        <v>0.0</v>
      </c>
      <c r="Q167">
        <v>12.0</v>
      </c>
      <c r="R167"/>
      <c r="S167"/>
      <c r="T167"/>
      <c r="U167"/>
      <c r="V167"/>
      <c r="W167">
        <v>18</v>
      </c>
    </row>
    <row r="168" spans="1:23">
      <c r="A168"/>
      <c r="B168" t="s">
        <v>62</v>
      </c>
      <c r="C168" t="s">
        <v>62</v>
      </c>
      <c r="D168" t="s">
        <v>33</v>
      </c>
      <c r="E168" t="s">
        <v>34</v>
      </c>
      <c r="F168" t="str">
        <f>"0016726"</f>
        <v>0016726</v>
      </c>
      <c r="G168">
        <v>1</v>
      </c>
      <c r="H168" t="str">
        <f>"00000001"</f>
        <v>00000001</v>
      </c>
      <c r="I168" t="s">
        <v>35</v>
      </c>
      <c r="J168"/>
      <c r="K168">
        <v>16.95</v>
      </c>
      <c r="L168">
        <v>0.0</v>
      </c>
      <c r="M168"/>
      <c r="N168"/>
      <c r="O168">
        <v>3.05</v>
      </c>
      <c r="P168">
        <v>0.0</v>
      </c>
      <c r="Q168">
        <v>20.0</v>
      </c>
      <c r="R168"/>
      <c r="S168"/>
      <c r="T168"/>
      <c r="U168"/>
      <c r="V168"/>
      <c r="W168">
        <v>18</v>
      </c>
    </row>
    <row r="169" spans="1:23">
      <c r="A169"/>
      <c r="B169" t="s">
        <v>62</v>
      </c>
      <c r="C169" t="s">
        <v>62</v>
      </c>
      <c r="D169" t="s">
        <v>33</v>
      </c>
      <c r="E169" t="s">
        <v>34</v>
      </c>
      <c r="F169" t="str">
        <f>"0016727"</f>
        <v>0016727</v>
      </c>
      <c r="G169">
        <v>1</v>
      </c>
      <c r="H169" t="str">
        <f>"00000001"</f>
        <v>00000001</v>
      </c>
      <c r="I169" t="s">
        <v>35</v>
      </c>
      <c r="J169"/>
      <c r="K169">
        <v>8.47</v>
      </c>
      <c r="L169">
        <v>0.0</v>
      </c>
      <c r="M169"/>
      <c r="N169"/>
      <c r="O169">
        <v>1.53</v>
      </c>
      <c r="P169">
        <v>0.0</v>
      </c>
      <c r="Q169">
        <v>10.0</v>
      </c>
      <c r="R169"/>
      <c r="S169"/>
      <c r="T169"/>
      <c r="U169"/>
      <c r="V169"/>
      <c r="W169">
        <v>18</v>
      </c>
    </row>
    <row r="170" spans="1:23">
      <c r="A170"/>
      <c r="B170" t="s">
        <v>62</v>
      </c>
      <c r="C170" t="s">
        <v>62</v>
      </c>
      <c r="D170" t="s">
        <v>33</v>
      </c>
      <c r="E170" t="s">
        <v>34</v>
      </c>
      <c r="F170" t="str">
        <f>"0016728"</f>
        <v>0016728</v>
      </c>
      <c r="G170">
        <v>1</v>
      </c>
      <c r="H170" t="str">
        <f>"00000001"</f>
        <v>00000001</v>
      </c>
      <c r="I170" t="s">
        <v>35</v>
      </c>
      <c r="J170"/>
      <c r="K170">
        <v>5.08</v>
      </c>
      <c r="L170">
        <v>0.0</v>
      </c>
      <c r="M170"/>
      <c r="N170"/>
      <c r="O170">
        <v>0.92</v>
      </c>
      <c r="P170">
        <v>0.0</v>
      </c>
      <c r="Q170">
        <v>6.0</v>
      </c>
      <c r="R170"/>
      <c r="S170"/>
      <c r="T170"/>
      <c r="U170"/>
      <c r="V170"/>
      <c r="W170">
        <v>18</v>
      </c>
    </row>
    <row r="171" spans="1:23">
      <c r="A171"/>
      <c r="B171" t="s">
        <v>62</v>
      </c>
      <c r="C171" t="s">
        <v>62</v>
      </c>
      <c r="D171" t="s">
        <v>33</v>
      </c>
      <c r="E171" t="s">
        <v>34</v>
      </c>
      <c r="F171" t="str">
        <f>"0016729"</f>
        <v>0016729</v>
      </c>
      <c r="G171">
        <v>1</v>
      </c>
      <c r="H171" t="str">
        <f>"00000001"</f>
        <v>00000001</v>
      </c>
      <c r="I171" t="s">
        <v>35</v>
      </c>
      <c r="J171"/>
      <c r="K171">
        <v>43.22</v>
      </c>
      <c r="L171">
        <v>0.0</v>
      </c>
      <c r="M171"/>
      <c r="N171"/>
      <c r="O171">
        <v>7.78</v>
      </c>
      <c r="P171">
        <v>0.0</v>
      </c>
      <c r="Q171">
        <v>51.0</v>
      </c>
      <c r="R171"/>
      <c r="S171"/>
      <c r="T171"/>
      <c r="U171"/>
      <c r="V171"/>
      <c r="W171">
        <v>18</v>
      </c>
    </row>
    <row r="172" spans="1:23">
      <c r="A172"/>
      <c r="B172" t="s">
        <v>62</v>
      </c>
      <c r="C172" t="s">
        <v>62</v>
      </c>
      <c r="D172" t="s">
        <v>33</v>
      </c>
      <c r="E172" t="s">
        <v>34</v>
      </c>
      <c r="F172" t="str">
        <f>"0016730"</f>
        <v>0016730</v>
      </c>
      <c r="G172">
        <v>1</v>
      </c>
      <c r="H172" t="str">
        <f>"00000001"</f>
        <v>00000001</v>
      </c>
      <c r="I172" t="s">
        <v>35</v>
      </c>
      <c r="J172"/>
      <c r="K172">
        <v>15.25</v>
      </c>
      <c r="L172">
        <v>0.0</v>
      </c>
      <c r="M172"/>
      <c r="N172"/>
      <c r="O172">
        <v>2.75</v>
      </c>
      <c r="P172">
        <v>0.0</v>
      </c>
      <c r="Q172">
        <v>18.0</v>
      </c>
      <c r="R172"/>
      <c r="S172"/>
      <c r="T172"/>
      <c r="U172"/>
      <c r="V172"/>
      <c r="W172">
        <v>18</v>
      </c>
    </row>
    <row r="173" spans="1:23">
      <c r="A173"/>
      <c r="B173" t="s">
        <v>62</v>
      </c>
      <c r="C173" t="s">
        <v>62</v>
      </c>
      <c r="D173" t="s">
        <v>33</v>
      </c>
      <c r="E173" t="s">
        <v>34</v>
      </c>
      <c r="F173" t="str">
        <f>"0016731"</f>
        <v>0016731</v>
      </c>
      <c r="G173">
        <v>1</v>
      </c>
      <c r="H173" t="str">
        <f>"00000001"</f>
        <v>00000001</v>
      </c>
      <c r="I173" t="s">
        <v>35</v>
      </c>
      <c r="J173"/>
      <c r="K173">
        <v>22.03</v>
      </c>
      <c r="L173">
        <v>0.0</v>
      </c>
      <c r="M173"/>
      <c r="N173"/>
      <c r="O173">
        <v>3.97</v>
      </c>
      <c r="P173">
        <v>0.0</v>
      </c>
      <c r="Q173">
        <v>26.0</v>
      </c>
      <c r="R173"/>
      <c r="S173"/>
      <c r="T173"/>
      <c r="U173"/>
      <c r="V173"/>
      <c r="W173">
        <v>18</v>
      </c>
    </row>
    <row r="174" spans="1:23">
      <c r="A174"/>
      <c r="B174" t="s">
        <v>62</v>
      </c>
      <c r="C174" t="s">
        <v>62</v>
      </c>
      <c r="D174" t="s">
        <v>33</v>
      </c>
      <c r="E174" t="s">
        <v>34</v>
      </c>
      <c r="F174" t="str">
        <f>"0016732"</f>
        <v>0016732</v>
      </c>
      <c r="G174">
        <v>1</v>
      </c>
      <c r="H174" t="str">
        <f>"00000001"</f>
        <v>00000001</v>
      </c>
      <c r="I174" t="s">
        <v>35</v>
      </c>
      <c r="J174"/>
      <c r="K174">
        <v>19.49</v>
      </c>
      <c r="L174">
        <v>0.0</v>
      </c>
      <c r="M174"/>
      <c r="N174"/>
      <c r="O174">
        <v>3.51</v>
      </c>
      <c r="P174">
        <v>0.0</v>
      </c>
      <c r="Q174">
        <v>23.0</v>
      </c>
      <c r="R174"/>
      <c r="S174"/>
      <c r="T174"/>
      <c r="U174"/>
      <c r="V174"/>
      <c r="W174">
        <v>18</v>
      </c>
    </row>
    <row r="175" spans="1:23">
      <c r="A175"/>
      <c r="B175" t="s">
        <v>62</v>
      </c>
      <c r="C175" t="s">
        <v>62</v>
      </c>
      <c r="D175" t="s">
        <v>33</v>
      </c>
      <c r="E175" t="s">
        <v>34</v>
      </c>
      <c r="F175" t="str">
        <f>"0016733"</f>
        <v>0016733</v>
      </c>
      <c r="G175">
        <v>1</v>
      </c>
      <c r="H175" t="str">
        <f>"00000001"</f>
        <v>00000001</v>
      </c>
      <c r="I175" t="s">
        <v>35</v>
      </c>
      <c r="J175"/>
      <c r="K175">
        <v>4.24</v>
      </c>
      <c r="L175">
        <v>0.0</v>
      </c>
      <c r="M175"/>
      <c r="N175"/>
      <c r="O175">
        <v>0.76</v>
      </c>
      <c r="P175">
        <v>0.0</v>
      </c>
      <c r="Q175">
        <v>5.0</v>
      </c>
      <c r="R175"/>
      <c r="S175"/>
      <c r="T175"/>
      <c r="U175"/>
      <c r="V175"/>
      <c r="W175">
        <v>18</v>
      </c>
    </row>
    <row r="176" spans="1:23">
      <c r="A176"/>
      <c r="B176" t="s">
        <v>62</v>
      </c>
      <c r="C176" t="s">
        <v>62</v>
      </c>
      <c r="D176" t="s">
        <v>33</v>
      </c>
      <c r="E176" t="s">
        <v>34</v>
      </c>
      <c r="F176" t="str">
        <f>"0016734"</f>
        <v>0016734</v>
      </c>
      <c r="G176">
        <v>1</v>
      </c>
      <c r="H176" t="str">
        <f>"00000001"</f>
        <v>00000001</v>
      </c>
      <c r="I176" t="s">
        <v>35</v>
      </c>
      <c r="J176"/>
      <c r="K176">
        <v>2.54</v>
      </c>
      <c r="L176">
        <v>0.0</v>
      </c>
      <c r="M176"/>
      <c r="N176"/>
      <c r="O176">
        <v>0.46</v>
      </c>
      <c r="P176">
        <v>0.0</v>
      </c>
      <c r="Q176">
        <v>3.0</v>
      </c>
      <c r="R176"/>
      <c r="S176"/>
      <c r="T176"/>
      <c r="U176"/>
      <c r="V176"/>
      <c r="W176">
        <v>18</v>
      </c>
    </row>
    <row r="177" spans="1:23">
      <c r="A177"/>
      <c r="B177" t="s">
        <v>62</v>
      </c>
      <c r="C177" t="s">
        <v>62</v>
      </c>
      <c r="D177" t="s">
        <v>33</v>
      </c>
      <c r="E177" t="s">
        <v>34</v>
      </c>
      <c r="F177" t="str">
        <f>"0016735"</f>
        <v>0016735</v>
      </c>
      <c r="G177">
        <v>1</v>
      </c>
      <c r="H177" t="str">
        <f>"00000001"</f>
        <v>00000001</v>
      </c>
      <c r="I177" t="s">
        <v>35</v>
      </c>
      <c r="J177"/>
      <c r="K177">
        <v>25.42</v>
      </c>
      <c r="L177">
        <v>0.0</v>
      </c>
      <c r="M177"/>
      <c r="N177"/>
      <c r="O177">
        <v>4.58</v>
      </c>
      <c r="P177">
        <v>0.0</v>
      </c>
      <c r="Q177">
        <v>30.0</v>
      </c>
      <c r="R177"/>
      <c r="S177"/>
      <c r="T177"/>
      <c r="U177"/>
      <c r="V177"/>
      <c r="W177">
        <v>18</v>
      </c>
    </row>
    <row r="178" spans="1:23">
      <c r="A178"/>
      <c r="B178" t="s">
        <v>62</v>
      </c>
      <c r="C178" t="s">
        <v>62</v>
      </c>
      <c r="D178" t="s">
        <v>33</v>
      </c>
      <c r="E178" t="s">
        <v>34</v>
      </c>
      <c r="F178" t="str">
        <f>"0016736"</f>
        <v>0016736</v>
      </c>
      <c r="G178">
        <v>1</v>
      </c>
      <c r="H178" t="str">
        <f>"00000001"</f>
        <v>00000001</v>
      </c>
      <c r="I178" t="s">
        <v>35</v>
      </c>
      <c r="J178"/>
      <c r="K178">
        <v>61.86</v>
      </c>
      <c r="L178">
        <v>0.0</v>
      </c>
      <c r="M178"/>
      <c r="N178"/>
      <c r="O178">
        <v>11.14</v>
      </c>
      <c r="P178">
        <v>0.0</v>
      </c>
      <c r="Q178">
        <v>73.0</v>
      </c>
      <c r="R178"/>
      <c r="S178"/>
      <c r="T178"/>
      <c r="U178"/>
      <c r="V178"/>
      <c r="W178">
        <v>18</v>
      </c>
    </row>
    <row r="179" spans="1:23">
      <c r="A179"/>
      <c r="B179" t="s">
        <v>62</v>
      </c>
      <c r="C179" t="s">
        <v>62</v>
      </c>
      <c r="D179" t="s">
        <v>33</v>
      </c>
      <c r="E179" t="s">
        <v>34</v>
      </c>
      <c r="F179" t="str">
        <f>"0016737"</f>
        <v>0016737</v>
      </c>
      <c r="G179">
        <v>1</v>
      </c>
      <c r="H179" t="str">
        <f>"00000001"</f>
        <v>00000001</v>
      </c>
      <c r="I179" t="s">
        <v>35</v>
      </c>
      <c r="J179"/>
      <c r="K179">
        <v>102.54</v>
      </c>
      <c r="L179">
        <v>0.0</v>
      </c>
      <c r="M179"/>
      <c r="N179"/>
      <c r="O179">
        <v>18.46</v>
      </c>
      <c r="P179">
        <v>0.0</v>
      </c>
      <c r="Q179">
        <v>121.0</v>
      </c>
      <c r="R179"/>
      <c r="S179"/>
      <c r="T179"/>
      <c r="U179"/>
      <c r="V179"/>
      <c r="W179">
        <v>18</v>
      </c>
    </row>
    <row r="180" spans="1:23">
      <c r="A180"/>
      <c r="B180" t="s">
        <v>62</v>
      </c>
      <c r="C180" t="s">
        <v>62</v>
      </c>
      <c r="D180" t="s">
        <v>33</v>
      </c>
      <c r="E180" t="s">
        <v>34</v>
      </c>
      <c r="F180" t="str">
        <f>"0016738"</f>
        <v>0016738</v>
      </c>
      <c r="G180">
        <v>1</v>
      </c>
      <c r="H180" t="str">
        <f>"00000001"</f>
        <v>00000001</v>
      </c>
      <c r="I180" t="s">
        <v>35</v>
      </c>
      <c r="J180"/>
      <c r="K180">
        <v>40.68</v>
      </c>
      <c r="L180">
        <v>0.0</v>
      </c>
      <c r="M180"/>
      <c r="N180"/>
      <c r="O180">
        <v>7.32</v>
      </c>
      <c r="P180">
        <v>0.0</v>
      </c>
      <c r="Q180">
        <v>48.0</v>
      </c>
      <c r="R180"/>
      <c r="S180"/>
      <c r="T180"/>
      <c r="U180"/>
      <c r="V180"/>
      <c r="W180">
        <v>18</v>
      </c>
    </row>
    <row r="181" spans="1:23">
      <c r="A181"/>
      <c r="B181" t="s">
        <v>66</v>
      </c>
      <c r="C181" t="s">
        <v>66</v>
      </c>
      <c r="D181" t="s">
        <v>33</v>
      </c>
      <c r="E181" t="s">
        <v>34</v>
      </c>
      <c r="F181" t="str">
        <f>"0016739"</f>
        <v>0016739</v>
      </c>
      <c r="G181">
        <v>1</v>
      </c>
      <c r="H181" t="str">
        <f>"00000001"</f>
        <v>00000001</v>
      </c>
      <c r="I181" t="s">
        <v>35</v>
      </c>
      <c r="J181"/>
      <c r="K181">
        <v>13.98</v>
      </c>
      <c r="L181">
        <v>0.0</v>
      </c>
      <c r="M181"/>
      <c r="N181"/>
      <c r="O181">
        <v>2.52</v>
      </c>
      <c r="P181">
        <v>0.0</v>
      </c>
      <c r="Q181">
        <v>16.5</v>
      </c>
      <c r="R181"/>
      <c r="S181"/>
      <c r="T181"/>
      <c r="U181"/>
      <c r="V181"/>
      <c r="W181">
        <v>18</v>
      </c>
    </row>
    <row r="182" spans="1:23">
      <c r="A182"/>
      <c r="B182" t="s">
        <v>66</v>
      </c>
      <c r="C182" t="s">
        <v>66</v>
      </c>
      <c r="D182" t="s">
        <v>33</v>
      </c>
      <c r="E182" t="s">
        <v>34</v>
      </c>
      <c r="F182" t="str">
        <f>"0016740"</f>
        <v>0016740</v>
      </c>
      <c r="G182">
        <v>1</v>
      </c>
      <c r="H182" t="str">
        <f>"00000001"</f>
        <v>00000001</v>
      </c>
      <c r="I182" t="s">
        <v>35</v>
      </c>
      <c r="J182"/>
      <c r="K182">
        <v>6.78</v>
      </c>
      <c r="L182">
        <v>0.0</v>
      </c>
      <c r="M182"/>
      <c r="N182"/>
      <c r="O182">
        <v>1.22</v>
      </c>
      <c r="P182">
        <v>0.0</v>
      </c>
      <c r="Q182">
        <v>8.0</v>
      </c>
      <c r="R182"/>
      <c r="S182"/>
      <c r="T182"/>
      <c r="U182"/>
      <c r="V182"/>
      <c r="W182">
        <v>18</v>
      </c>
    </row>
    <row r="183" spans="1:23">
      <c r="A183"/>
      <c r="B183" t="s">
        <v>66</v>
      </c>
      <c r="C183" t="s">
        <v>66</v>
      </c>
      <c r="D183" t="s">
        <v>33</v>
      </c>
      <c r="E183" t="s">
        <v>34</v>
      </c>
      <c r="F183" t="str">
        <f>"0016741"</f>
        <v>0016741</v>
      </c>
      <c r="G183">
        <v>1</v>
      </c>
      <c r="H183" t="str">
        <f>"00000001"</f>
        <v>00000001</v>
      </c>
      <c r="I183" t="s">
        <v>35</v>
      </c>
      <c r="J183"/>
      <c r="K183">
        <v>23.73</v>
      </c>
      <c r="L183">
        <v>0.0</v>
      </c>
      <c r="M183"/>
      <c r="N183"/>
      <c r="O183">
        <v>4.27</v>
      </c>
      <c r="P183">
        <v>0.0</v>
      </c>
      <c r="Q183">
        <v>28.0</v>
      </c>
      <c r="R183"/>
      <c r="S183"/>
      <c r="T183"/>
      <c r="U183"/>
      <c r="V183"/>
      <c r="W183">
        <v>18</v>
      </c>
    </row>
    <row r="184" spans="1:23">
      <c r="A184"/>
      <c r="B184" t="s">
        <v>66</v>
      </c>
      <c r="C184" t="s">
        <v>66</v>
      </c>
      <c r="D184" t="s">
        <v>33</v>
      </c>
      <c r="E184" t="s">
        <v>34</v>
      </c>
      <c r="F184" t="str">
        <f>"0016742"</f>
        <v>0016742</v>
      </c>
      <c r="G184">
        <v>1</v>
      </c>
      <c r="H184" t="str">
        <f>"00000001"</f>
        <v>00000001</v>
      </c>
      <c r="I184" t="s">
        <v>35</v>
      </c>
      <c r="J184"/>
      <c r="K184">
        <v>40.68</v>
      </c>
      <c r="L184">
        <v>0.0</v>
      </c>
      <c r="M184"/>
      <c r="N184"/>
      <c r="O184">
        <v>7.32</v>
      </c>
      <c r="P184">
        <v>0.0</v>
      </c>
      <c r="Q184">
        <v>48.0</v>
      </c>
      <c r="R184"/>
      <c r="S184"/>
      <c r="T184"/>
      <c r="U184"/>
      <c r="V184"/>
      <c r="W184">
        <v>18</v>
      </c>
    </row>
    <row r="185" spans="1:23">
      <c r="A185"/>
      <c r="B185" t="s">
        <v>66</v>
      </c>
      <c r="C185" t="s">
        <v>66</v>
      </c>
      <c r="D185" t="s">
        <v>33</v>
      </c>
      <c r="E185" t="s">
        <v>34</v>
      </c>
      <c r="F185" t="str">
        <f>"0016743"</f>
        <v>0016743</v>
      </c>
      <c r="G185">
        <v>1</v>
      </c>
      <c r="H185" t="str">
        <f>"00000001"</f>
        <v>00000001</v>
      </c>
      <c r="I185" t="s">
        <v>35</v>
      </c>
      <c r="J185"/>
      <c r="K185">
        <v>21.44</v>
      </c>
      <c r="L185">
        <v>0.0</v>
      </c>
      <c r="M185"/>
      <c r="N185"/>
      <c r="O185">
        <v>3.86</v>
      </c>
      <c r="P185">
        <v>0.0</v>
      </c>
      <c r="Q185">
        <v>25.3</v>
      </c>
      <c r="R185"/>
      <c r="S185"/>
      <c r="T185"/>
      <c r="U185"/>
      <c r="V185"/>
      <c r="W185">
        <v>18</v>
      </c>
    </row>
    <row r="186" spans="1:23">
      <c r="A186"/>
      <c r="B186" t="s">
        <v>66</v>
      </c>
      <c r="C186" t="s">
        <v>66</v>
      </c>
      <c r="D186" t="s">
        <v>33</v>
      </c>
      <c r="E186" t="s">
        <v>34</v>
      </c>
      <c r="F186" t="str">
        <f>"0016744"</f>
        <v>0016744</v>
      </c>
      <c r="G186">
        <v>1</v>
      </c>
      <c r="H186" t="str">
        <f>"00000001"</f>
        <v>00000001</v>
      </c>
      <c r="I186" t="s">
        <v>35</v>
      </c>
      <c r="J186"/>
      <c r="K186">
        <v>8.47</v>
      </c>
      <c r="L186">
        <v>0.0</v>
      </c>
      <c r="M186"/>
      <c r="N186"/>
      <c r="O186">
        <v>1.53</v>
      </c>
      <c r="P186">
        <v>0.0</v>
      </c>
      <c r="Q186">
        <v>10.0</v>
      </c>
      <c r="R186"/>
      <c r="S186"/>
      <c r="T186"/>
      <c r="U186"/>
      <c r="V186"/>
      <c r="W186">
        <v>18</v>
      </c>
    </row>
    <row r="187" spans="1:23">
      <c r="A187"/>
      <c r="B187" t="s">
        <v>66</v>
      </c>
      <c r="C187" t="s">
        <v>66</v>
      </c>
      <c r="D187" t="s">
        <v>33</v>
      </c>
      <c r="E187" t="s">
        <v>34</v>
      </c>
      <c r="F187" t="str">
        <f>"0016745"</f>
        <v>0016745</v>
      </c>
      <c r="G187">
        <v>1</v>
      </c>
      <c r="H187" t="str">
        <f>"00000001"</f>
        <v>00000001</v>
      </c>
      <c r="I187" t="s">
        <v>35</v>
      </c>
      <c r="J187"/>
      <c r="K187">
        <v>40.68</v>
      </c>
      <c r="L187">
        <v>0.0</v>
      </c>
      <c r="M187"/>
      <c r="N187"/>
      <c r="O187">
        <v>7.32</v>
      </c>
      <c r="P187">
        <v>0.0</v>
      </c>
      <c r="Q187">
        <v>48.0</v>
      </c>
      <c r="R187"/>
      <c r="S187"/>
      <c r="T187"/>
      <c r="U187"/>
      <c r="V187"/>
      <c r="W187">
        <v>18</v>
      </c>
    </row>
    <row r="188" spans="1:23">
      <c r="A188"/>
      <c r="B188" t="s">
        <v>66</v>
      </c>
      <c r="C188" t="s">
        <v>66</v>
      </c>
      <c r="D188" t="s">
        <v>33</v>
      </c>
      <c r="E188" t="s">
        <v>34</v>
      </c>
      <c r="F188" t="str">
        <f>"0016746"</f>
        <v>0016746</v>
      </c>
      <c r="G188">
        <v>1</v>
      </c>
      <c r="H188" t="str">
        <f>"00000001"</f>
        <v>00000001</v>
      </c>
      <c r="I188" t="s">
        <v>35</v>
      </c>
      <c r="J188"/>
      <c r="K188">
        <v>5.08</v>
      </c>
      <c r="L188">
        <v>0.0</v>
      </c>
      <c r="M188"/>
      <c r="N188"/>
      <c r="O188">
        <v>0.92</v>
      </c>
      <c r="P188">
        <v>0.0</v>
      </c>
      <c r="Q188">
        <v>6.0</v>
      </c>
      <c r="R188"/>
      <c r="S188"/>
      <c r="T188"/>
      <c r="U188"/>
      <c r="V188"/>
      <c r="W188">
        <v>18</v>
      </c>
    </row>
    <row r="189" spans="1:23">
      <c r="A189"/>
      <c r="B189" t="s">
        <v>66</v>
      </c>
      <c r="C189" t="s">
        <v>66</v>
      </c>
      <c r="D189" t="s">
        <v>33</v>
      </c>
      <c r="E189" t="s">
        <v>34</v>
      </c>
      <c r="F189" t="str">
        <f>"0016747"</f>
        <v>0016747</v>
      </c>
      <c r="G189">
        <v>1</v>
      </c>
      <c r="H189" t="str">
        <f>"00000001"</f>
        <v>00000001</v>
      </c>
      <c r="I189" t="s">
        <v>35</v>
      </c>
      <c r="J189"/>
      <c r="K189">
        <v>16.95</v>
      </c>
      <c r="L189">
        <v>0.0</v>
      </c>
      <c r="M189"/>
      <c r="N189"/>
      <c r="O189">
        <v>3.05</v>
      </c>
      <c r="P189">
        <v>0.0</v>
      </c>
      <c r="Q189">
        <v>20.0</v>
      </c>
      <c r="R189"/>
      <c r="S189"/>
      <c r="T189"/>
      <c r="U189"/>
      <c r="V189"/>
      <c r="W189">
        <v>18</v>
      </c>
    </row>
    <row r="190" spans="1:23">
      <c r="A190"/>
      <c r="B190" t="s">
        <v>66</v>
      </c>
      <c r="C190" t="s">
        <v>66</v>
      </c>
      <c r="D190" t="s">
        <v>33</v>
      </c>
      <c r="E190" t="s">
        <v>34</v>
      </c>
      <c r="F190" t="str">
        <f>"0016748"</f>
        <v>0016748</v>
      </c>
      <c r="G190">
        <v>1</v>
      </c>
      <c r="H190" t="str">
        <f>"00000001"</f>
        <v>00000001</v>
      </c>
      <c r="I190" t="s">
        <v>35</v>
      </c>
      <c r="J190"/>
      <c r="K190">
        <v>3.39</v>
      </c>
      <c r="L190">
        <v>0.0</v>
      </c>
      <c r="M190"/>
      <c r="N190"/>
      <c r="O190">
        <v>0.61</v>
      </c>
      <c r="P190">
        <v>0.0</v>
      </c>
      <c r="Q190">
        <v>4.0</v>
      </c>
      <c r="R190"/>
      <c r="S190"/>
      <c r="T190"/>
      <c r="U190"/>
      <c r="V190"/>
      <c r="W190">
        <v>18</v>
      </c>
    </row>
    <row r="191" spans="1:23">
      <c r="A191"/>
      <c r="B191" t="s">
        <v>66</v>
      </c>
      <c r="C191" t="s">
        <v>66</v>
      </c>
      <c r="D191" t="s">
        <v>33</v>
      </c>
      <c r="E191" t="s">
        <v>34</v>
      </c>
      <c r="F191" t="str">
        <f>"0016749"</f>
        <v>0016749</v>
      </c>
      <c r="G191">
        <v>1</v>
      </c>
      <c r="H191" t="str">
        <f>"00000001"</f>
        <v>00000001</v>
      </c>
      <c r="I191" t="s">
        <v>35</v>
      </c>
      <c r="J191"/>
      <c r="K191">
        <v>8.47</v>
      </c>
      <c r="L191">
        <v>0.0</v>
      </c>
      <c r="M191"/>
      <c r="N191"/>
      <c r="O191">
        <v>1.53</v>
      </c>
      <c r="P191">
        <v>0.0</v>
      </c>
      <c r="Q191">
        <v>10.0</v>
      </c>
      <c r="R191"/>
      <c r="S191"/>
      <c r="T191"/>
      <c r="U191"/>
      <c r="V191"/>
      <c r="W191">
        <v>18</v>
      </c>
    </row>
    <row r="192" spans="1:23">
      <c r="A192"/>
      <c r="B192" t="s">
        <v>66</v>
      </c>
      <c r="C192" t="s">
        <v>66</v>
      </c>
      <c r="D192" t="s">
        <v>33</v>
      </c>
      <c r="E192" t="s">
        <v>34</v>
      </c>
      <c r="F192" t="str">
        <f>"0016750"</f>
        <v>0016750</v>
      </c>
      <c r="G192">
        <v>1</v>
      </c>
      <c r="H192" t="str">
        <f>"00000001"</f>
        <v>00000001</v>
      </c>
      <c r="I192" t="s">
        <v>35</v>
      </c>
      <c r="J192"/>
      <c r="K192">
        <v>2.12</v>
      </c>
      <c r="L192">
        <v>0.0</v>
      </c>
      <c r="M192"/>
      <c r="N192"/>
      <c r="O192">
        <v>0.38</v>
      </c>
      <c r="P192">
        <v>0.0</v>
      </c>
      <c r="Q192">
        <v>2.5</v>
      </c>
      <c r="R192"/>
      <c r="S192"/>
      <c r="T192"/>
      <c r="U192"/>
      <c r="V192"/>
      <c r="W192">
        <v>18</v>
      </c>
    </row>
    <row r="193" spans="1:23">
      <c r="A193"/>
      <c r="B193" t="s">
        <v>66</v>
      </c>
      <c r="C193" t="s">
        <v>66</v>
      </c>
      <c r="D193" t="s">
        <v>33</v>
      </c>
      <c r="E193" t="s">
        <v>34</v>
      </c>
      <c r="F193" t="str">
        <f>"0016751"</f>
        <v>0016751</v>
      </c>
      <c r="G193">
        <v>1</v>
      </c>
      <c r="H193" t="str">
        <f>"00000001"</f>
        <v>00000001</v>
      </c>
      <c r="I193" t="s">
        <v>35</v>
      </c>
      <c r="J193"/>
      <c r="K193">
        <v>34.75</v>
      </c>
      <c r="L193">
        <v>0.0</v>
      </c>
      <c r="M193"/>
      <c r="N193"/>
      <c r="O193">
        <v>6.25</v>
      </c>
      <c r="P193">
        <v>0.0</v>
      </c>
      <c r="Q193">
        <v>41.0</v>
      </c>
      <c r="R193"/>
      <c r="S193"/>
      <c r="T193"/>
      <c r="U193"/>
      <c r="V193"/>
      <c r="W193">
        <v>18</v>
      </c>
    </row>
    <row r="194" spans="1:23">
      <c r="A194"/>
      <c r="B194" t="s">
        <v>66</v>
      </c>
      <c r="C194" t="s">
        <v>66</v>
      </c>
      <c r="D194" t="s">
        <v>33</v>
      </c>
      <c r="E194" t="s">
        <v>34</v>
      </c>
      <c r="F194" t="str">
        <f>"0016752"</f>
        <v>0016752</v>
      </c>
      <c r="G194">
        <v>6</v>
      </c>
      <c r="H194" t="str">
        <f>"20603300735"</f>
        <v>20603300735</v>
      </c>
      <c r="I194" t="s">
        <v>67</v>
      </c>
      <c r="J194"/>
      <c r="K194">
        <v>12.71</v>
      </c>
      <c r="L194">
        <v>0.0</v>
      </c>
      <c r="M194"/>
      <c r="N194"/>
      <c r="O194">
        <v>2.29</v>
      </c>
      <c r="P194">
        <v>0.0</v>
      </c>
      <c r="Q194">
        <v>15.0</v>
      </c>
      <c r="R194"/>
      <c r="S194"/>
      <c r="T194"/>
      <c r="U194"/>
      <c r="V194"/>
      <c r="W194">
        <v>18</v>
      </c>
    </row>
    <row r="195" spans="1:23">
      <c r="A195"/>
      <c r="B195" t="s">
        <v>66</v>
      </c>
      <c r="C195" t="s">
        <v>66</v>
      </c>
      <c r="D195" t="s">
        <v>33</v>
      </c>
      <c r="E195" t="s">
        <v>34</v>
      </c>
      <c r="F195" t="str">
        <f>"0016753"</f>
        <v>0016753</v>
      </c>
      <c r="G195">
        <v>1</v>
      </c>
      <c r="H195" t="str">
        <f>"00000001"</f>
        <v>00000001</v>
      </c>
      <c r="I195" t="s">
        <v>35</v>
      </c>
      <c r="J195"/>
      <c r="K195">
        <v>5.34</v>
      </c>
      <c r="L195">
        <v>0.0</v>
      </c>
      <c r="M195"/>
      <c r="N195"/>
      <c r="O195">
        <v>0.96</v>
      </c>
      <c r="P195">
        <v>0.0</v>
      </c>
      <c r="Q195">
        <v>6.3</v>
      </c>
      <c r="R195"/>
      <c r="S195"/>
      <c r="T195"/>
      <c r="U195"/>
      <c r="V195"/>
      <c r="W195">
        <v>18</v>
      </c>
    </row>
    <row r="196" spans="1:23">
      <c r="A196"/>
      <c r="B196" t="s">
        <v>66</v>
      </c>
      <c r="C196" t="s">
        <v>66</v>
      </c>
      <c r="D196" t="s">
        <v>33</v>
      </c>
      <c r="E196" t="s">
        <v>34</v>
      </c>
      <c r="F196" t="str">
        <f>"0016754"</f>
        <v>0016754</v>
      </c>
      <c r="G196">
        <v>1</v>
      </c>
      <c r="H196" t="str">
        <f>"00000001"</f>
        <v>00000001</v>
      </c>
      <c r="I196" t="s">
        <v>35</v>
      </c>
      <c r="J196"/>
      <c r="K196">
        <v>10.17</v>
      </c>
      <c r="L196">
        <v>0.0</v>
      </c>
      <c r="M196"/>
      <c r="N196"/>
      <c r="O196">
        <v>1.83</v>
      </c>
      <c r="P196">
        <v>0.0</v>
      </c>
      <c r="Q196">
        <v>12.0</v>
      </c>
      <c r="R196"/>
      <c r="S196"/>
      <c r="T196"/>
      <c r="U196"/>
      <c r="V196"/>
      <c r="W196">
        <v>18</v>
      </c>
    </row>
    <row r="197" spans="1:23">
      <c r="A197"/>
      <c r="B197" t="s">
        <v>66</v>
      </c>
      <c r="C197" t="s">
        <v>66</v>
      </c>
      <c r="D197" t="s">
        <v>33</v>
      </c>
      <c r="E197" t="s">
        <v>34</v>
      </c>
      <c r="F197" t="str">
        <f>"0016755"</f>
        <v>0016755</v>
      </c>
      <c r="G197">
        <v>1</v>
      </c>
      <c r="H197" t="str">
        <f>"00000001"</f>
        <v>00000001</v>
      </c>
      <c r="I197" t="s">
        <v>35</v>
      </c>
      <c r="J197"/>
      <c r="K197">
        <v>2.54</v>
      </c>
      <c r="L197">
        <v>0.0</v>
      </c>
      <c r="M197"/>
      <c r="N197"/>
      <c r="O197">
        <v>0.46</v>
      </c>
      <c r="P197">
        <v>0.0</v>
      </c>
      <c r="Q197">
        <v>3.0</v>
      </c>
      <c r="R197"/>
      <c r="S197"/>
      <c r="T197"/>
      <c r="U197"/>
      <c r="V197"/>
      <c r="W197">
        <v>18</v>
      </c>
    </row>
    <row r="198" spans="1:23">
      <c r="A198"/>
      <c r="B198" t="s">
        <v>66</v>
      </c>
      <c r="C198" t="s">
        <v>66</v>
      </c>
      <c r="D198" t="s">
        <v>33</v>
      </c>
      <c r="E198" t="s">
        <v>34</v>
      </c>
      <c r="F198" t="str">
        <f>"0016756"</f>
        <v>0016756</v>
      </c>
      <c r="G198">
        <v>6</v>
      </c>
      <c r="H198" t="str">
        <f>"20612250066"</f>
        <v>20612250066</v>
      </c>
      <c r="I198" t="s">
        <v>53</v>
      </c>
      <c r="J198"/>
      <c r="K198">
        <v>42.37</v>
      </c>
      <c r="L198">
        <v>0.0</v>
      </c>
      <c r="M198"/>
      <c r="N198"/>
      <c r="O198">
        <v>7.63</v>
      </c>
      <c r="P198">
        <v>0.0</v>
      </c>
      <c r="Q198">
        <v>50.0</v>
      </c>
      <c r="R198"/>
      <c r="S198"/>
      <c r="T198"/>
      <c r="U198"/>
      <c r="V198"/>
      <c r="W198">
        <v>18</v>
      </c>
    </row>
    <row r="199" spans="1:23">
      <c r="A199"/>
      <c r="B199" t="s">
        <v>66</v>
      </c>
      <c r="C199" t="s">
        <v>66</v>
      </c>
      <c r="D199" t="s">
        <v>33</v>
      </c>
      <c r="E199" t="s">
        <v>34</v>
      </c>
      <c r="F199" t="str">
        <f>"0016757"</f>
        <v>0016757</v>
      </c>
      <c r="G199">
        <v>1</v>
      </c>
      <c r="H199" t="str">
        <f>"00000001"</f>
        <v>00000001</v>
      </c>
      <c r="I199" t="s">
        <v>35</v>
      </c>
      <c r="J199"/>
      <c r="K199">
        <v>30.51</v>
      </c>
      <c r="L199">
        <v>0.0</v>
      </c>
      <c r="M199"/>
      <c r="N199"/>
      <c r="O199">
        <v>5.49</v>
      </c>
      <c r="P199">
        <v>0.0</v>
      </c>
      <c r="Q199">
        <v>36.0</v>
      </c>
      <c r="R199"/>
      <c r="S199"/>
      <c r="T199"/>
      <c r="U199"/>
      <c r="V199"/>
      <c r="W199">
        <v>18</v>
      </c>
    </row>
    <row r="200" spans="1:23">
      <c r="A200"/>
      <c r="B200" t="s">
        <v>68</v>
      </c>
      <c r="C200" t="s">
        <v>68</v>
      </c>
      <c r="D200" t="s">
        <v>33</v>
      </c>
      <c r="E200" t="s">
        <v>34</v>
      </c>
      <c r="F200" t="str">
        <f>"0016758"</f>
        <v>0016758</v>
      </c>
      <c r="G200">
        <v>1</v>
      </c>
      <c r="H200" t="str">
        <f>"00000001"</f>
        <v>00000001</v>
      </c>
      <c r="I200" t="s">
        <v>35</v>
      </c>
      <c r="J200"/>
      <c r="K200">
        <v>10.17</v>
      </c>
      <c r="L200">
        <v>0.0</v>
      </c>
      <c r="M200"/>
      <c r="N200"/>
      <c r="O200">
        <v>1.83</v>
      </c>
      <c r="P200">
        <v>0.0</v>
      </c>
      <c r="Q200">
        <v>12.0</v>
      </c>
      <c r="R200"/>
      <c r="S200"/>
      <c r="T200"/>
      <c r="U200"/>
      <c r="V200"/>
      <c r="W200">
        <v>18</v>
      </c>
    </row>
    <row r="201" spans="1:23">
      <c r="A201"/>
      <c r="B201" t="s">
        <v>68</v>
      </c>
      <c r="C201" t="s">
        <v>68</v>
      </c>
      <c r="D201" t="s">
        <v>33</v>
      </c>
      <c r="E201" t="s">
        <v>34</v>
      </c>
      <c r="F201" t="str">
        <f>"0016759"</f>
        <v>0016759</v>
      </c>
      <c r="G201">
        <v>1</v>
      </c>
      <c r="H201" t="str">
        <f>"00000001"</f>
        <v>00000001</v>
      </c>
      <c r="I201" t="s">
        <v>35</v>
      </c>
      <c r="J201"/>
      <c r="K201">
        <v>20.34</v>
      </c>
      <c r="L201">
        <v>0.0</v>
      </c>
      <c r="M201"/>
      <c r="N201"/>
      <c r="O201">
        <v>3.66</v>
      </c>
      <c r="P201">
        <v>0.0</v>
      </c>
      <c r="Q201">
        <v>24.0</v>
      </c>
      <c r="R201"/>
      <c r="S201"/>
      <c r="T201"/>
      <c r="U201"/>
      <c r="V201"/>
      <c r="W201">
        <v>18</v>
      </c>
    </row>
    <row r="202" spans="1:23">
      <c r="A202"/>
      <c r="B202" t="s">
        <v>68</v>
      </c>
      <c r="C202" t="s">
        <v>68</v>
      </c>
      <c r="D202" t="s">
        <v>33</v>
      </c>
      <c r="E202" t="s">
        <v>34</v>
      </c>
      <c r="F202" t="str">
        <f>"0016760"</f>
        <v>0016760</v>
      </c>
      <c r="G202">
        <v>1</v>
      </c>
      <c r="H202" t="str">
        <f>"00000001"</f>
        <v>00000001</v>
      </c>
      <c r="I202" t="s">
        <v>35</v>
      </c>
      <c r="J202"/>
      <c r="K202">
        <v>12.71</v>
      </c>
      <c r="L202">
        <v>0.0</v>
      </c>
      <c r="M202"/>
      <c r="N202"/>
      <c r="O202">
        <v>2.29</v>
      </c>
      <c r="P202">
        <v>0.0</v>
      </c>
      <c r="Q202">
        <v>15.0</v>
      </c>
      <c r="R202"/>
      <c r="S202"/>
      <c r="T202"/>
      <c r="U202"/>
      <c r="V202"/>
      <c r="W202">
        <v>18</v>
      </c>
    </row>
    <row r="203" spans="1:23">
      <c r="A203"/>
      <c r="B203" t="s">
        <v>68</v>
      </c>
      <c r="C203" t="s">
        <v>68</v>
      </c>
      <c r="D203" t="s">
        <v>33</v>
      </c>
      <c r="E203" t="s">
        <v>34</v>
      </c>
      <c r="F203" t="str">
        <f>"0016761"</f>
        <v>0016761</v>
      </c>
      <c r="G203">
        <v>1</v>
      </c>
      <c r="H203" t="str">
        <f>"0000CSVC"</f>
        <v>0000CSVC</v>
      </c>
      <c r="I203" t="s">
        <v>69</v>
      </c>
      <c r="J203"/>
      <c r="K203">
        <v>8.47</v>
      </c>
      <c r="L203">
        <v>0.0</v>
      </c>
      <c r="M203"/>
      <c r="N203"/>
      <c r="O203">
        <v>1.53</v>
      </c>
      <c r="P203">
        <v>0.0</v>
      </c>
      <c r="Q203">
        <v>10.0</v>
      </c>
      <c r="R203"/>
      <c r="S203"/>
      <c r="T203"/>
      <c r="U203"/>
      <c r="V203"/>
      <c r="W203">
        <v>18</v>
      </c>
    </row>
    <row r="204" spans="1:23">
      <c r="A204"/>
      <c r="B204" t="s">
        <v>68</v>
      </c>
      <c r="C204" t="s">
        <v>68</v>
      </c>
      <c r="D204" t="s">
        <v>33</v>
      </c>
      <c r="E204" t="s">
        <v>34</v>
      </c>
      <c r="F204" t="str">
        <f>"0016762"</f>
        <v>0016762</v>
      </c>
      <c r="G204">
        <v>1</v>
      </c>
      <c r="H204" t="str">
        <f>"00000001"</f>
        <v>00000001</v>
      </c>
      <c r="I204" t="s">
        <v>35</v>
      </c>
      <c r="J204"/>
      <c r="K204">
        <v>54.31</v>
      </c>
      <c r="L204">
        <v>0.0</v>
      </c>
      <c r="M204"/>
      <c r="N204"/>
      <c r="O204">
        <v>9.77</v>
      </c>
      <c r="P204">
        <v>0.0</v>
      </c>
      <c r="Q204">
        <v>64.08</v>
      </c>
      <c r="R204"/>
      <c r="S204"/>
      <c r="T204"/>
      <c r="U204"/>
      <c r="V204"/>
      <c r="W204">
        <v>18</v>
      </c>
    </row>
    <row r="205" spans="1:23">
      <c r="A205"/>
      <c r="B205" t="s">
        <v>68</v>
      </c>
      <c r="C205" t="s">
        <v>68</v>
      </c>
      <c r="D205" t="s">
        <v>33</v>
      </c>
      <c r="E205" t="s">
        <v>34</v>
      </c>
      <c r="F205" t="str">
        <f>"0016763"</f>
        <v>0016763</v>
      </c>
      <c r="G205">
        <v>1</v>
      </c>
      <c r="H205" t="str">
        <f>"00000001"</f>
        <v>00000001</v>
      </c>
      <c r="I205" t="s">
        <v>35</v>
      </c>
      <c r="J205"/>
      <c r="K205">
        <v>6.78</v>
      </c>
      <c r="L205">
        <v>0.0</v>
      </c>
      <c r="M205"/>
      <c r="N205"/>
      <c r="O205">
        <v>1.22</v>
      </c>
      <c r="P205">
        <v>0.0</v>
      </c>
      <c r="Q205">
        <v>8.0</v>
      </c>
      <c r="R205"/>
      <c r="S205"/>
      <c r="T205"/>
      <c r="U205"/>
      <c r="V205"/>
      <c r="W205">
        <v>18</v>
      </c>
    </row>
    <row r="206" spans="1:23">
      <c r="A206"/>
      <c r="B206" t="s">
        <v>68</v>
      </c>
      <c r="C206" t="s">
        <v>68</v>
      </c>
      <c r="D206" t="s">
        <v>33</v>
      </c>
      <c r="E206" t="s">
        <v>34</v>
      </c>
      <c r="F206" t="str">
        <f>"0016764"</f>
        <v>0016764</v>
      </c>
      <c r="G206">
        <v>1</v>
      </c>
      <c r="H206" t="str">
        <f>"00000001"</f>
        <v>00000001</v>
      </c>
      <c r="I206" t="s">
        <v>35</v>
      </c>
      <c r="J206"/>
      <c r="K206">
        <v>271.18</v>
      </c>
      <c r="L206">
        <v>0.0</v>
      </c>
      <c r="M206"/>
      <c r="N206"/>
      <c r="O206">
        <v>48.81</v>
      </c>
      <c r="P206">
        <v>0.0</v>
      </c>
      <c r="Q206">
        <v>320.0</v>
      </c>
      <c r="R206"/>
      <c r="S206"/>
      <c r="T206"/>
      <c r="U206"/>
      <c r="V206"/>
      <c r="W206">
        <v>18</v>
      </c>
    </row>
    <row r="207" spans="1:23">
      <c r="A207"/>
      <c r="B207" t="s">
        <v>68</v>
      </c>
      <c r="C207" t="s">
        <v>68</v>
      </c>
      <c r="D207" t="s">
        <v>33</v>
      </c>
      <c r="E207" t="s">
        <v>34</v>
      </c>
      <c r="F207" t="str">
        <f>"0016765"</f>
        <v>0016765</v>
      </c>
      <c r="G207">
        <v>1</v>
      </c>
      <c r="H207" t="str">
        <f>"00000001"</f>
        <v>00000001</v>
      </c>
      <c r="I207" t="s">
        <v>35</v>
      </c>
      <c r="J207"/>
      <c r="K207">
        <v>41.95</v>
      </c>
      <c r="L207">
        <v>0.0</v>
      </c>
      <c r="M207"/>
      <c r="N207"/>
      <c r="O207">
        <v>7.55</v>
      </c>
      <c r="P207">
        <v>0.0</v>
      </c>
      <c r="Q207">
        <v>49.5</v>
      </c>
      <c r="R207"/>
      <c r="S207"/>
      <c r="T207"/>
      <c r="U207"/>
      <c r="V207"/>
      <c r="W207">
        <v>18</v>
      </c>
    </row>
    <row r="208" spans="1:23">
      <c r="A208"/>
      <c r="B208" t="s">
        <v>68</v>
      </c>
      <c r="C208" t="s">
        <v>68</v>
      </c>
      <c r="D208" t="s">
        <v>36</v>
      </c>
      <c r="E208" t="s">
        <v>37</v>
      </c>
      <c r="F208" t="str">
        <f>"0001365"</f>
        <v>0001365</v>
      </c>
      <c r="G208">
        <v>6</v>
      </c>
      <c r="H208" t="str">
        <f>"10035904102"</f>
        <v>10035904102</v>
      </c>
      <c r="I208" t="s">
        <v>70</v>
      </c>
      <c r="J208"/>
      <c r="K208">
        <v>120.34</v>
      </c>
      <c r="L208">
        <v>0.0</v>
      </c>
      <c r="M208"/>
      <c r="N208"/>
      <c r="O208">
        <v>21.66</v>
      </c>
      <c r="P208">
        <v>0.0</v>
      </c>
      <c r="Q208">
        <v>142.0</v>
      </c>
      <c r="R208"/>
      <c r="S208"/>
      <c r="T208"/>
      <c r="U208"/>
      <c r="V208"/>
      <c r="W208">
        <v>18</v>
      </c>
    </row>
    <row r="209" spans="1:23">
      <c r="A209"/>
      <c r="B209" t="s">
        <v>68</v>
      </c>
      <c r="C209" t="s">
        <v>68</v>
      </c>
      <c r="D209" t="s">
        <v>36</v>
      </c>
      <c r="E209" t="s">
        <v>37</v>
      </c>
      <c r="F209" t="str">
        <f>"0001366"</f>
        <v>0001366</v>
      </c>
      <c r="G209">
        <v>6</v>
      </c>
      <c r="H209" t="str">
        <f>"20613539116"</f>
        <v>20613539116</v>
      </c>
      <c r="I209" t="s">
        <v>71</v>
      </c>
      <c r="J209"/>
      <c r="K209">
        <v>33.05</v>
      </c>
      <c r="L209">
        <v>0.0</v>
      </c>
      <c r="M209"/>
      <c r="N209"/>
      <c r="O209">
        <v>5.95</v>
      </c>
      <c r="P209">
        <v>0.0</v>
      </c>
      <c r="Q209">
        <v>39.0</v>
      </c>
      <c r="R209"/>
      <c r="S209"/>
      <c r="T209"/>
      <c r="U209"/>
      <c r="V209"/>
      <c r="W209">
        <v>18</v>
      </c>
    </row>
    <row r="210" spans="1:23">
      <c r="A210"/>
      <c r="B210" t="s">
        <v>68</v>
      </c>
      <c r="C210" t="s">
        <v>68</v>
      </c>
      <c r="D210" t="s">
        <v>33</v>
      </c>
      <c r="E210" t="s">
        <v>34</v>
      </c>
      <c r="F210" t="str">
        <f>"0016766"</f>
        <v>0016766</v>
      </c>
      <c r="G210">
        <v>1</v>
      </c>
      <c r="H210" t="str">
        <f>"00000001"</f>
        <v>00000001</v>
      </c>
      <c r="I210" t="s">
        <v>35</v>
      </c>
      <c r="J210"/>
      <c r="K210">
        <v>14.66</v>
      </c>
      <c r="L210">
        <v>0.0</v>
      </c>
      <c r="M210"/>
      <c r="N210"/>
      <c r="O210">
        <v>2.64</v>
      </c>
      <c r="P210">
        <v>0.0</v>
      </c>
      <c r="Q210">
        <v>17.3</v>
      </c>
      <c r="R210"/>
      <c r="S210"/>
      <c r="T210"/>
      <c r="U210"/>
      <c r="V210"/>
      <c r="W210">
        <v>18</v>
      </c>
    </row>
    <row r="211" spans="1:23">
      <c r="A211"/>
      <c r="B211" t="s">
        <v>68</v>
      </c>
      <c r="C211" t="s">
        <v>68</v>
      </c>
      <c r="D211" t="s">
        <v>33</v>
      </c>
      <c r="E211" t="s">
        <v>34</v>
      </c>
      <c r="F211" t="str">
        <f>"0016767"</f>
        <v>0016767</v>
      </c>
      <c r="G211">
        <v>1</v>
      </c>
      <c r="H211" t="str">
        <f>"00000001"</f>
        <v>00000001</v>
      </c>
      <c r="I211" t="s">
        <v>35</v>
      </c>
      <c r="J211"/>
      <c r="K211">
        <v>39.83</v>
      </c>
      <c r="L211">
        <v>0.0</v>
      </c>
      <c r="M211"/>
      <c r="N211"/>
      <c r="O211">
        <v>7.17</v>
      </c>
      <c r="P211">
        <v>0.0</v>
      </c>
      <c r="Q211">
        <v>47.0</v>
      </c>
      <c r="R211"/>
      <c r="S211"/>
      <c r="T211"/>
      <c r="U211"/>
      <c r="V211"/>
      <c r="W211">
        <v>18</v>
      </c>
    </row>
    <row r="212" spans="1:23">
      <c r="A212"/>
      <c r="B212" t="s">
        <v>68</v>
      </c>
      <c r="C212" t="s">
        <v>68</v>
      </c>
      <c r="D212" t="s">
        <v>33</v>
      </c>
      <c r="E212" t="s">
        <v>34</v>
      </c>
      <c r="F212" t="str">
        <f>"0016768"</f>
        <v>0016768</v>
      </c>
      <c r="G212">
        <v>1</v>
      </c>
      <c r="H212" t="str">
        <f>"00000001"</f>
        <v>00000001</v>
      </c>
      <c r="I212" t="s">
        <v>35</v>
      </c>
      <c r="J212"/>
      <c r="K212">
        <v>76.27</v>
      </c>
      <c r="L212">
        <v>0.0</v>
      </c>
      <c r="M212"/>
      <c r="N212"/>
      <c r="O212">
        <v>13.73</v>
      </c>
      <c r="P212">
        <v>0.0</v>
      </c>
      <c r="Q212">
        <v>90.0</v>
      </c>
      <c r="R212"/>
      <c r="S212"/>
      <c r="T212"/>
      <c r="U212"/>
      <c r="V212"/>
      <c r="W212">
        <v>18</v>
      </c>
    </row>
    <row r="213" spans="1:23">
      <c r="A213"/>
      <c r="B213" t="s">
        <v>68</v>
      </c>
      <c r="C213" t="s">
        <v>68</v>
      </c>
      <c r="D213" t="s">
        <v>33</v>
      </c>
      <c r="E213" t="s">
        <v>34</v>
      </c>
      <c r="F213" t="str">
        <f>"0016769"</f>
        <v>0016769</v>
      </c>
      <c r="G213">
        <v>1</v>
      </c>
      <c r="H213" t="str">
        <f>"00000001"</f>
        <v>00000001</v>
      </c>
      <c r="I213" t="s">
        <v>35</v>
      </c>
      <c r="J213"/>
      <c r="K213">
        <v>33.9</v>
      </c>
      <c r="L213">
        <v>0.0</v>
      </c>
      <c r="M213"/>
      <c r="N213"/>
      <c r="O213">
        <v>6.1</v>
      </c>
      <c r="P213">
        <v>0.0</v>
      </c>
      <c r="Q213">
        <v>40.0</v>
      </c>
      <c r="R213"/>
      <c r="S213"/>
      <c r="T213"/>
      <c r="U213"/>
      <c r="V213"/>
      <c r="W213">
        <v>18</v>
      </c>
    </row>
    <row r="214" spans="1:23">
      <c r="A214"/>
      <c r="B214" t="s">
        <v>68</v>
      </c>
      <c r="C214" t="s">
        <v>68</v>
      </c>
      <c r="D214" t="s">
        <v>33</v>
      </c>
      <c r="E214" t="s">
        <v>34</v>
      </c>
      <c r="F214" t="str">
        <f>"0016770"</f>
        <v>0016770</v>
      </c>
      <c r="G214">
        <v>1</v>
      </c>
      <c r="H214" t="str">
        <f>"00000001"</f>
        <v>00000001</v>
      </c>
      <c r="I214" t="s">
        <v>35</v>
      </c>
      <c r="J214"/>
      <c r="K214">
        <v>56.78</v>
      </c>
      <c r="L214">
        <v>0.0</v>
      </c>
      <c r="M214"/>
      <c r="N214"/>
      <c r="O214">
        <v>10.22</v>
      </c>
      <c r="P214">
        <v>0.0</v>
      </c>
      <c r="Q214">
        <v>67.0</v>
      </c>
      <c r="R214"/>
      <c r="S214"/>
      <c r="T214"/>
      <c r="U214"/>
      <c r="V214"/>
      <c r="W214">
        <v>18</v>
      </c>
    </row>
    <row r="215" spans="1:23">
      <c r="A215"/>
      <c r="B215" t="s">
        <v>68</v>
      </c>
      <c r="C215" t="s">
        <v>68</v>
      </c>
      <c r="D215" t="s">
        <v>33</v>
      </c>
      <c r="E215" t="s">
        <v>34</v>
      </c>
      <c r="F215" t="str">
        <f>"0016771"</f>
        <v>0016771</v>
      </c>
      <c r="G215">
        <v>1</v>
      </c>
      <c r="H215" t="str">
        <f>"00000001"</f>
        <v>00000001</v>
      </c>
      <c r="I215" t="s">
        <v>35</v>
      </c>
      <c r="J215"/>
      <c r="K215">
        <v>16.53</v>
      </c>
      <c r="L215">
        <v>0.0</v>
      </c>
      <c r="M215"/>
      <c r="N215"/>
      <c r="O215">
        <v>2.97</v>
      </c>
      <c r="P215">
        <v>0.0</v>
      </c>
      <c r="Q215">
        <v>19.5</v>
      </c>
      <c r="R215"/>
      <c r="S215"/>
      <c r="T215"/>
      <c r="U215"/>
      <c r="V215"/>
      <c r="W215">
        <v>18</v>
      </c>
    </row>
    <row r="216" spans="1:23">
      <c r="A216"/>
      <c r="B216" t="s">
        <v>68</v>
      </c>
      <c r="C216" t="s">
        <v>68</v>
      </c>
      <c r="D216" t="s">
        <v>33</v>
      </c>
      <c r="E216" t="s">
        <v>34</v>
      </c>
      <c r="F216" t="str">
        <f>"0016772"</f>
        <v>0016772</v>
      </c>
      <c r="G216">
        <v>1</v>
      </c>
      <c r="H216" t="str">
        <f>"00000001"</f>
        <v>00000001</v>
      </c>
      <c r="I216" t="s">
        <v>35</v>
      </c>
      <c r="J216"/>
      <c r="K216">
        <v>30.51</v>
      </c>
      <c r="L216">
        <v>0.0</v>
      </c>
      <c r="M216"/>
      <c r="N216"/>
      <c r="O216">
        <v>5.49</v>
      </c>
      <c r="P216">
        <v>0.0</v>
      </c>
      <c r="Q216">
        <v>36.0</v>
      </c>
      <c r="R216"/>
      <c r="S216"/>
      <c r="T216"/>
      <c r="U216"/>
      <c r="V216"/>
      <c r="W216">
        <v>18</v>
      </c>
    </row>
    <row r="217" spans="1:23">
      <c r="A217"/>
      <c r="B217" t="s">
        <v>68</v>
      </c>
      <c r="C217" t="s">
        <v>68</v>
      </c>
      <c r="D217" t="s">
        <v>33</v>
      </c>
      <c r="E217" t="s">
        <v>34</v>
      </c>
      <c r="F217" t="str">
        <f>"0016773"</f>
        <v>0016773</v>
      </c>
      <c r="G217">
        <v>1</v>
      </c>
      <c r="H217" t="str">
        <f>"00000001"</f>
        <v>00000001</v>
      </c>
      <c r="I217" t="s">
        <v>35</v>
      </c>
      <c r="J217"/>
      <c r="K217">
        <v>44.07</v>
      </c>
      <c r="L217">
        <v>0.0</v>
      </c>
      <c r="M217"/>
      <c r="N217"/>
      <c r="O217">
        <v>7.93</v>
      </c>
      <c r="P217">
        <v>0.0</v>
      </c>
      <c r="Q217">
        <v>52.0</v>
      </c>
      <c r="R217"/>
      <c r="S217"/>
      <c r="T217"/>
      <c r="U217"/>
      <c r="V217"/>
      <c r="W217">
        <v>18</v>
      </c>
    </row>
    <row r="218" spans="1:23">
      <c r="A218"/>
      <c r="B218" t="s">
        <v>68</v>
      </c>
      <c r="C218" t="s">
        <v>68</v>
      </c>
      <c r="D218" t="s">
        <v>33</v>
      </c>
      <c r="E218" t="s">
        <v>34</v>
      </c>
      <c r="F218" t="str">
        <f>"0016774"</f>
        <v>0016774</v>
      </c>
      <c r="G218">
        <v>1</v>
      </c>
      <c r="H218" t="str">
        <f>"00000001"</f>
        <v>00000001</v>
      </c>
      <c r="I218" t="s">
        <v>35</v>
      </c>
      <c r="J218"/>
      <c r="K218">
        <v>16.95</v>
      </c>
      <c r="L218">
        <v>0.0</v>
      </c>
      <c r="M218"/>
      <c r="N218"/>
      <c r="O218">
        <v>3.05</v>
      </c>
      <c r="P218">
        <v>0.0</v>
      </c>
      <c r="Q218">
        <v>20.0</v>
      </c>
      <c r="R218"/>
      <c r="S218"/>
      <c r="T218"/>
      <c r="U218"/>
      <c r="V218"/>
      <c r="W218">
        <v>18</v>
      </c>
    </row>
    <row r="219" spans="1:23">
      <c r="A219"/>
      <c r="B219" t="s">
        <v>68</v>
      </c>
      <c r="C219" t="s">
        <v>68</v>
      </c>
      <c r="D219" t="s">
        <v>33</v>
      </c>
      <c r="E219" t="s">
        <v>34</v>
      </c>
      <c r="F219" t="str">
        <f>"0016775"</f>
        <v>0016775</v>
      </c>
      <c r="G219">
        <v>1</v>
      </c>
      <c r="H219" t="str">
        <f>"00000001"</f>
        <v>00000001</v>
      </c>
      <c r="I219" t="s">
        <v>35</v>
      </c>
      <c r="J219"/>
      <c r="K219">
        <v>3.39</v>
      </c>
      <c r="L219">
        <v>0.0</v>
      </c>
      <c r="M219"/>
      <c r="N219"/>
      <c r="O219">
        <v>0.61</v>
      </c>
      <c r="P219">
        <v>0.0</v>
      </c>
      <c r="Q219">
        <v>4.0</v>
      </c>
      <c r="R219"/>
      <c r="S219"/>
      <c r="T219"/>
      <c r="U219"/>
      <c r="V219"/>
      <c r="W219">
        <v>18</v>
      </c>
    </row>
    <row r="220" spans="1:23">
      <c r="A220"/>
      <c r="B220" t="s">
        <v>68</v>
      </c>
      <c r="C220" t="s">
        <v>68</v>
      </c>
      <c r="D220" t="s">
        <v>33</v>
      </c>
      <c r="E220" t="s">
        <v>34</v>
      </c>
      <c r="F220" t="str">
        <f>"0016776"</f>
        <v>0016776</v>
      </c>
      <c r="G220">
        <v>1</v>
      </c>
      <c r="H220" t="str">
        <f>"00000001"</f>
        <v>00000001</v>
      </c>
      <c r="I220" t="s">
        <v>35</v>
      </c>
      <c r="J220"/>
      <c r="K220">
        <v>10.59</v>
      </c>
      <c r="L220">
        <v>0.0</v>
      </c>
      <c r="M220"/>
      <c r="N220"/>
      <c r="O220">
        <v>1.91</v>
      </c>
      <c r="P220">
        <v>0.0</v>
      </c>
      <c r="Q220">
        <v>12.5</v>
      </c>
      <c r="R220"/>
      <c r="S220"/>
      <c r="T220"/>
      <c r="U220"/>
      <c r="V220"/>
      <c r="W220">
        <v>18</v>
      </c>
    </row>
    <row r="221" spans="1:23">
      <c r="A221"/>
      <c r="B221" t="s">
        <v>68</v>
      </c>
      <c r="C221" t="s">
        <v>68</v>
      </c>
      <c r="D221" t="s">
        <v>33</v>
      </c>
      <c r="E221" t="s">
        <v>34</v>
      </c>
      <c r="F221" t="str">
        <f>"0016777"</f>
        <v>0016777</v>
      </c>
      <c r="G221">
        <v>1</v>
      </c>
      <c r="H221" t="str">
        <f>"45772890"</f>
        <v>45772890</v>
      </c>
      <c r="I221" t="s">
        <v>72</v>
      </c>
      <c r="J221"/>
      <c r="K221">
        <v>7.2</v>
      </c>
      <c r="L221">
        <v>0.0</v>
      </c>
      <c r="M221"/>
      <c r="N221"/>
      <c r="O221">
        <v>1.3</v>
      </c>
      <c r="P221">
        <v>0.0</v>
      </c>
      <c r="Q221">
        <v>8.5</v>
      </c>
      <c r="R221"/>
      <c r="S221"/>
      <c r="T221"/>
      <c r="U221"/>
      <c r="V221"/>
      <c r="W221">
        <v>18</v>
      </c>
    </row>
    <row r="222" spans="1:23">
      <c r="A222"/>
      <c r="B222" t="s">
        <v>68</v>
      </c>
      <c r="C222" t="s">
        <v>68</v>
      </c>
      <c r="D222" t="s">
        <v>33</v>
      </c>
      <c r="E222" t="s">
        <v>34</v>
      </c>
      <c r="F222" t="str">
        <f>"0016778"</f>
        <v>0016778</v>
      </c>
      <c r="G222">
        <v>1</v>
      </c>
      <c r="H222" t="str">
        <f>"00000001"</f>
        <v>00000001</v>
      </c>
      <c r="I222" t="s">
        <v>35</v>
      </c>
      <c r="J222"/>
      <c r="K222">
        <v>12.71</v>
      </c>
      <c r="L222">
        <v>0.0</v>
      </c>
      <c r="M222"/>
      <c r="N222"/>
      <c r="O222">
        <v>2.29</v>
      </c>
      <c r="P222">
        <v>0.0</v>
      </c>
      <c r="Q222">
        <v>15.0</v>
      </c>
      <c r="R222"/>
      <c r="S222"/>
      <c r="T222"/>
      <c r="U222"/>
      <c r="V222"/>
      <c r="W222">
        <v>18</v>
      </c>
    </row>
    <row r="223" spans="1:23">
      <c r="A223"/>
      <c r="B223" t="s">
        <v>68</v>
      </c>
      <c r="C223" t="s">
        <v>68</v>
      </c>
      <c r="D223" t="s">
        <v>33</v>
      </c>
      <c r="E223" t="s">
        <v>34</v>
      </c>
      <c r="F223" t="str">
        <f>"0016779"</f>
        <v>0016779</v>
      </c>
      <c r="G223">
        <v>1</v>
      </c>
      <c r="H223" t="str">
        <f>"00000001"</f>
        <v>00000001</v>
      </c>
      <c r="I223" t="s">
        <v>35</v>
      </c>
      <c r="J223"/>
      <c r="K223">
        <v>3.39</v>
      </c>
      <c r="L223">
        <v>0.0</v>
      </c>
      <c r="M223"/>
      <c r="N223"/>
      <c r="O223">
        <v>0.61</v>
      </c>
      <c r="P223">
        <v>0.0</v>
      </c>
      <c r="Q223">
        <v>4.0</v>
      </c>
      <c r="R223"/>
      <c r="S223"/>
      <c r="T223"/>
      <c r="U223"/>
      <c r="V223"/>
      <c r="W223">
        <v>18</v>
      </c>
    </row>
    <row r="224" spans="1:23">
      <c r="A224"/>
      <c r="B224" t="s">
        <v>68</v>
      </c>
      <c r="C224" t="s">
        <v>68</v>
      </c>
      <c r="D224" t="s">
        <v>33</v>
      </c>
      <c r="E224" t="s">
        <v>34</v>
      </c>
      <c r="F224" t="str">
        <f>"0016780"</f>
        <v>0016780</v>
      </c>
      <c r="G224">
        <v>1</v>
      </c>
      <c r="H224" t="str">
        <f>"00000001"</f>
        <v>00000001</v>
      </c>
      <c r="I224" t="s">
        <v>35</v>
      </c>
      <c r="J224"/>
      <c r="K224">
        <v>16.95</v>
      </c>
      <c r="L224">
        <v>0.0</v>
      </c>
      <c r="M224"/>
      <c r="N224"/>
      <c r="O224">
        <v>3.05</v>
      </c>
      <c r="P224">
        <v>0.0</v>
      </c>
      <c r="Q224">
        <v>20.0</v>
      </c>
      <c r="R224"/>
      <c r="S224"/>
      <c r="T224"/>
      <c r="U224"/>
      <c r="V224"/>
      <c r="W224">
        <v>18</v>
      </c>
    </row>
    <row r="225" spans="1:23">
      <c r="A225"/>
      <c r="B225" t="s">
        <v>68</v>
      </c>
      <c r="C225" t="s">
        <v>68</v>
      </c>
      <c r="D225" t="s">
        <v>33</v>
      </c>
      <c r="E225" t="s">
        <v>34</v>
      </c>
      <c r="F225" t="str">
        <f>"0016781"</f>
        <v>0016781</v>
      </c>
      <c r="G225">
        <v>1</v>
      </c>
      <c r="H225" t="str">
        <f>"00000001"</f>
        <v>00000001</v>
      </c>
      <c r="I225" t="s">
        <v>35</v>
      </c>
      <c r="J225"/>
      <c r="K225">
        <v>25.42</v>
      </c>
      <c r="L225">
        <v>0.0</v>
      </c>
      <c r="M225"/>
      <c r="N225"/>
      <c r="O225">
        <v>4.58</v>
      </c>
      <c r="P225">
        <v>0.0</v>
      </c>
      <c r="Q225">
        <v>30.0</v>
      </c>
      <c r="R225"/>
      <c r="S225"/>
      <c r="T225"/>
      <c r="U225"/>
      <c r="V225"/>
      <c r="W225">
        <v>18</v>
      </c>
    </row>
    <row r="226" spans="1:23">
      <c r="A226"/>
      <c r="B226" t="s">
        <v>73</v>
      </c>
      <c r="C226" t="s">
        <v>73</v>
      </c>
      <c r="D226" t="s">
        <v>33</v>
      </c>
      <c r="E226" t="s">
        <v>34</v>
      </c>
      <c r="F226" t="str">
        <f>"0016782"</f>
        <v>0016782</v>
      </c>
      <c r="G226">
        <v>1</v>
      </c>
      <c r="H226" t="str">
        <f>"00000001"</f>
        <v>00000001</v>
      </c>
      <c r="I226" t="s">
        <v>35</v>
      </c>
      <c r="J226"/>
      <c r="K226">
        <v>6.78</v>
      </c>
      <c r="L226">
        <v>0.0</v>
      </c>
      <c r="M226"/>
      <c r="N226"/>
      <c r="O226">
        <v>1.22</v>
      </c>
      <c r="P226">
        <v>0.0</v>
      </c>
      <c r="Q226">
        <v>8.0</v>
      </c>
      <c r="R226"/>
      <c r="S226"/>
      <c r="T226"/>
      <c r="U226"/>
      <c r="V226"/>
      <c r="W226">
        <v>18</v>
      </c>
    </row>
    <row r="227" spans="1:23">
      <c r="A227"/>
      <c r="B227" t="s">
        <v>73</v>
      </c>
      <c r="C227" t="s">
        <v>73</v>
      </c>
      <c r="D227" t="s">
        <v>33</v>
      </c>
      <c r="E227" t="s">
        <v>34</v>
      </c>
      <c r="F227" t="str">
        <f>"0016783"</f>
        <v>0016783</v>
      </c>
      <c r="G227">
        <v>6</v>
      </c>
      <c r="H227" t="str">
        <f>"20610600787"</f>
        <v>20610600787</v>
      </c>
      <c r="I227" t="s">
        <v>55</v>
      </c>
      <c r="J227"/>
      <c r="K227">
        <v>42.37</v>
      </c>
      <c r="L227">
        <v>0.0</v>
      </c>
      <c r="M227"/>
      <c r="N227"/>
      <c r="O227">
        <v>7.63</v>
      </c>
      <c r="P227">
        <v>0.0</v>
      </c>
      <c r="Q227">
        <v>50.0</v>
      </c>
      <c r="R227"/>
      <c r="S227"/>
      <c r="T227"/>
      <c r="U227"/>
      <c r="V227"/>
      <c r="W227">
        <v>18</v>
      </c>
    </row>
    <row r="228" spans="1:23">
      <c r="A228"/>
      <c r="B228" t="s">
        <v>73</v>
      </c>
      <c r="C228" t="s">
        <v>73</v>
      </c>
      <c r="D228" t="s">
        <v>33</v>
      </c>
      <c r="E228" t="s">
        <v>34</v>
      </c>
      <c r="F228" t="str">
        <f>"0016784"</f>
        <v>0016784</v>
      </c>
      <c r="G228">
        <v>6</v>
      </c>
      <c r="H228" t="str">
        <f>"20612250066"</f>
        <v>20612250066</v>
      </c>
      <c r="I228" t="s">
        <v>53</v>
      </c>
      <c r="J228"/>
      <c r="K228">
        <v>42.37</v>
      </c>
      <c r="L228">
        <v>0.0</v>
      </c>
      <c r="M228"/>
      <c r="N228"/>
      <c r="O228">
        <v>7.63</v>
      </c>
      <c r="P228">
        <v>0.0</v>
      </c>
      <c r="Q228">
        <v>50.0</v>
      </c>
      <c r="R228"/>
      <c r="S228"/>
      <c r="T228"/>
      <c r="U228"/>
      <c r="V228"/>
      <c r="W228">
        <v>18</v>
      </c>
    </row>
    <row r="229" spans="1:23">
      <c r="A229"/>
      <c r="B229" t="s">
        <v>73</v>
      </c>
      <c r="C229" t="s">
        <v>73</v>
      </c>
      <c r="D229" t="s">
        <v>33</v>
      </c>
      <c r="E229" t="s">
        <v>34</v>
      </c>
      <c r="F229" t="str">
        <f>"0016785"</f>
        <v>0016785</v>
      </c>
      <c r="G229">
        <v>6</v>
      </c>
      <c r="H229" t="str">
        <f>"20610600787"</f>
        <v>20610600787</v>
      </c>
      <c r="I229" t="s">
        <v>55</v>
      </c>
      <c r="J229"/>
      <c r="K229">
        <v>42.37</v>
      </c>
      <c r="L229">
        <v>0.0</v>
      </c>
      <c r="M229"/>
      <c r="N229"/>
      <c r="O229">
        <v>7.63</v>
      </c>
      <c r="P229">
        <v>0.0</v>
      </c>
      <c r="Q229">
        <v>50.0</v>
      </c>
      <c r="R229"/>
      <c r="S229"/>
      <c r="T229"/>
      <c r="U229"/>
      <c r="V229"/>
      <c r="W229">
        <v>18</v>
      </c>
    </row>
    <row r="230" spans="1:23">
      <c r="A230"/>
      <c r="B230" t="s">
        <v>73</v>
      </c>
      <c r="C230" t="s">
        <v>73</v>
      </c>
      <c r="D230" t="s">
        <v>33</v>
      </c>
      <c r="E230" t="s">
        <v>34</v>
      </c>
      <c r="F230" t="str">
        <f>"0016786"</f>
        <v>0016786</v>
      </c>
      <c r="G230">
        <v>6</v>
      </c>
      <c r="H230" t="str">
        <f>"20612250066"</f>
        <v>20612250066</v>
      </c>
      <c r="I230" t="s">
        <v>53</v>
      </c>
      <c r="J230"/>
      <c r="K230">
        <v>20.34</v>
      </c>
      <c r="L230">
        <v>0.0</v>
      </c>
      <c r="M230"/>
      <c r="N230"/>
      <c r="O230">
        <v>3.66</v>
      </c>
      <c r="P230">
        <v>0.0</v>
      </c>
      <c r="Q230">
        <v>24.0</v>
      </c>
      <c r="R230"/>
      <c r="S230"/>
      <c r="T230"/>
      <c r="U230"/>
      <c r="V230"/>
      <c r="W230">
        <v>18</v>
      </c>
    </row>
    <row r="231" spans="1:23">
      <c r="A231"/>
      <c r="B231" t="s">
        <v>73</v>
      </c>
      <c r="C231" t="s">
        <v>73</v>
      </c>
      <c r="D231" t="s">
        <v>33</v>
      </c>
      <c r="E231" t="s">
        <v>34</v>
      </c>
      <c r="F231" t="str">
        <f>"0016787"</f>
        <v>0016787</v>
      </c>
      <c r="G231">
        <v>6</v>
      </c>
      <c r="H231" t="str">
        <f>"20610600787"</f>
        <v>20610600787</v>
      </c>
      <c r="I231" t="s">
        <v>55</v>
      </c>
      <c r="J231"/>
      <c r="K231">
        <v>58.47</v>
      </c>
      <c r="L231">
        <v>0.0</v>
      </c>
      <c r="M231"/>
      <c r="N231"/>
      <c r="O231">
        <v>10.53</v>
      </c>
      <c r="P231">
        <v>0.0</v>
      </c>
      <c r="Q231">
        <v>69.0</v>
      </c>
      <c r="R231"/>
      <c r="S231"/>
      <c r="T231"/>
      <c r="U231"/>
      <c r="V231"/>
      <c r="W231">
        <v>18</v>
      </c>
    </row>
    <row r="232" spans="1:23">
      <c r="A232"/>
      <c r="B232" t="s">
        <v>73</v>
      </c>
      <c r="C232" t="s">
        <v>73</v>
      </c>
      <c r="D232" t="s">
        <v>33</v>
      </c>
      <c r="E232" t="s">
        <v>34</v>
      </c>
      <c r="F232" t="str">
        <f>"0016788"</f>
        <v>0016788</v>
      </c>
      <c r="G232">
        <v>6</v>
      </c>
      <c r="H232" t="str">
        <f>"20612250066"</f>
        <v>20612250066</v>
      </c>
      <c r="I232" t="s">
        <v>53</v>
      </c>
      <c r="J232"/>
      <c r="K232">
        <v>42.37</v>
      </c>
      <c r="L232">
        <v>0.0</v>
      </c>
      <c r="M232"/>
      <c r="N232"/>
      <c r="O232">
        <v>7.63</v>
      </c>
      <c r="P232">
        <v>0.0</v>
      </c>
      <c r="Q232">
        <v>50.0</v>
      </c>
      <c r="R232"/>
      <c r="S232"/>
      <c r="T232"/>
      <c r="U232"/>
      <c r="V232"/>
      <c r="W232">
        <v>18</v>
      </c>
    </row>
    <row r="233" spans="1:23">
      <c r="A233"/>
      <c r="B233" t="s">
        <v>73</v>
      </c>
      <c r="C233" t="s">
        <v>73</v>
      </c>
      <c r="D233" t="s">
        <v>33</v>
      </c>
      <c r="E233" t="s">
        <v>34</v>
      </c>
      <c r="F233" t="str">
        <f>"0016789"</f>
        <v>0016789</v>
      </c>
      <c r="G233">
        <v>6</v>
      </c>
      <c r="H233" t="str">
        <f>"20613583107"</f>
        <v>20613583107</v>
      </c>
      <c r="I233" t="s">
        <v>74</v>
      </c>
      <c r="J233"/>
      <c r="K233">
        <v>42.37</v>
      </c>
      <c r="L233">
        <v>0.0</v>
      </c>
      <c r="M233"/>
      <c r="N233"/>
      <c r="O233">
        <v>7.63</v>
      </c>
      <c r="P233">
        <v>0.0</v>
      </c>
      <c r="Q233">
        <v>50.0</v>
      </c>
      <c r="R233"/>
      <c r="S233"/>
      <c r="T233"/>
      <c r="U233"/>
      <c r="V233"/>
      <c r="W233">
        <v>18</v>
      </c>
    </row>
    <row r="234" spans="1:23">
      <c r="A234"/>
      <c r="B234" t="s">
        <v>73</v>
      </c>
      <c r="C234" t="s">
        <v>73</v>
      </c>
      <c r="D234" t="s">
        <v>33</v>
      </c>
      <c r="E234" t="s">
        <v>34</v>
      </c>
      <c r="F234" t="str">
        <f>"0016790"</f>
        <v>0016790</v>
      </c>
      <c r="G234">
        <v>6</v>
      </c>
      <c r="H234" t="str">
        <f>"20613583107"</f>
        <v>20613583107</v>
      </c>
      <c r="I234" t="s">
        <v>74</v>
      </c>
      <c r="J234"/>
      <c r="K234">
        <v>42.37</v>
      </c>
      <c r="L234">
        <v>0.0</v>
      </c>
      <c r="M234"/>
      <c r="N234"/>
      <c r="O234">
        <v>7.63</v>
      </c>
      <c r="P234">
        <v>0.0</v>
      </c>
      <c r="Q234">
        <v>50.0</v>
      </c>
      <c r="R234"/>
      <c r="S234"/>
      <c r="T234"/>
      <c r="U234"/>
      <c r="V234"/>
      <c r="W234">
        <v>18</v>
      </c>
    </row>
    <row r="235" spans="1:23">
      <c r="A235"/>
      <c r="B235" t="s">
        <v>73</v>
      </c>
      <c r="C235" t="s">
        <v>73</v>
      </c>
      <c r="D235" t="s">
        <v>33</v>
      </c>
      <c r="E235" t="s">
        <v>34</v>
      </c>
      <c r="F235" t="str">
        <f>"0016791"</f>
        <v>0016791</v>
      </c>
      <c r="G235">
        <v>6</v>
      </c>
      <c r="H235" t="str">
        <f>"20610600787"</f>
        <v>20610600787</v>
      </c>
      <c r="I235" t="s">
        <v>55</v>
      </c>
      <c r="J235"/>
      <c r="K235">
        <v>42.37</v>
      </c>
      <c r="L235">
        <v>0.0</v>
      </c>
      <c r="M235"/>
      <c r="N235"/>
      <c r="O235">
        <v>7.63</v>
      </c>
      <c r="P235">
        <v>0.0</v>
      </c>
      <c r="Q235">
        <v>50.0</v>
      </c>
      <c r="R235"/>
      <c r="S235"/>
      <c r="T235"/>
      <c r="U235"/>
      <c r="V235"/>
      <c r="W235">
        <v>18</v>
      </c>
    </row>
    <row r="236" spans="1:23">
      <c r="A236"/>
      <c r="B236" t="s">
        <v>73</v>
      </c>
      <c r="C236" t="s">
        <v>73</v>
      </c>
      <c r="D236" t="s">
        <v>33</v>
      </c>
      <c r="E236" t="s">
        <v>34</v>
      </c>
      <c r="F236" t="str">
        <f>"0016792"</f>
        <v>0016792</v>
      </c>
      <c r="G236">
        <v>6</v>
      </c>
      <c r="H236" t="str">
        <f>"20610600787"</f>
        <v>20610600787</v>
      </c>
      <c r="I236" t="s">
        <v>55</v>
      </c>
      <c r="J236"/>
      <c r="K236">
        <v>42.37</v>
      </c>
      <c r="L236">
        <v>0.0</v>
      </c>
      <c r="M236"/>
      <c r="N236"/>
      <c r="O236">
        <v>7.63</v>
      </c>
      <c r="P236">
        <v>0.0</v>
      </c>
      <c r="Q236">
        <v>50.0</v>
      </c>
      <c r="R236"/>
      <c r="S236"/>
      <c r="T236"/>
      <c r="U236"/>
      <c r="V236"/>
      <c r="W236">
        <v>18</v>
      </c>
    </row>
    <row r="237" spans="1:23">
      <c r="A237"/>
      <c r="B237" t="s">
        <v>73</v>
      </c>
      <c r="C237" t="s">
        <v>73</v>
      </c>
      <c r="D237" t="s">
        <v>33</v>
      </c>
      <c r="E237" t="s">
        <v>34</v>
      </c>
      <c r="F237" t="str">
        <f>"0016793"</f>
        <v>0016793</v>
      </c>
      <c r="G237">
        <v>6</v>
      </c>
      <c r="H237" t="str">
        <f>"20610600787"</f>
        <v>20610600787</v>
      </c>
      <c r="I237" t="s">
        <v>55</v>
      </c>
      <c r="J237"/>
      <c r="K237">
        <v>42.37</v>
      </c>
      <c r="L237">
        <v>0.0</v>
      </c>
      <c r="M237"/>
      <c r="N237"/>
      <c r="O237">
        <v>7.63</v>
      </c>
      <c r="P237">
        <v>0.0</v>
      </c>
      <c r="Q237">
        <v>50.0</v>
      </c>
      <c r="R237"/>
      <c r="S237"/>
      <c r="T237"/>
      <c r="U237"/>
      <c r="V237"/>
      <c r="W237">
        <v>18</v>
      </c>
    </row>
    <row r="238" spans="1:23">
      <c r="A238"/>
      <c r="B238" t="s">
        <v>73</v>
      </c>
      <c r="C238" t="s">
        <v>73</v>
      </c>
      <c r="D238" t="s">
        <v>33</v>
      </c>
      <c r="E238" t="s">
        <v>34</v>
      </c>
      <c r="F238" t="str">
        <f>"0016794"</f>
        <v>0016794</v>
      </c>
      <c r="G238">
        <v>6</v>
      </c>
      <c r="H238" t="str">
        <f>"20610600787"</f>
        <v>20610600787</v>
      </c>
      <c r="I238" t="s">
        <v>55</v>
      </c>
      <c r="J238"/>
      <c r="K238">
        <v>42.37</v>
      </c>
      <c r="L238">
        <v>0.0</v>
      </c>
      <c r="M238"/>
      <c r="N238"/>
      <c r="O238">
        <v>7.63</v>
      </c>
      <c r="P238">
        <v>0.0</v>
      </c>
      <c r="Q238">
        <v>50.0</v>
      </c>
      <c r="R238"/>
      <c r="S238"/>
      <c r="T238"/>
      <c r="U238"/>
      <c r="V238"/>
      <c r="W238">
        <v>18</v>
      </c>
    </row>
    <row r="239" spans="1:23">
      <c r="A239"/>
      <c r="B239" t="s">
        <v>73</v>
      </c>
      <c r="C239" t="s">
        <v>73</v>
      </c>
      <c r="D239" t="s">
        <v>33</v>
      </c>
      <c r="E239" t="s">
        <v>34</v>
      </c>
      <c r="F239" t="str">
        <f>"0016795"</f>
        <v>0016795</v>
      </c>
      <c r="G239">
        <v>6</v>
      </c>
      <c r="H239" t="str">
        <f>"20613583107"</f>
        <v>20613583107</v>
      </c>
      <c r="I239" t="s">
        <v>74</v>
      </c>
      <c r="J239"/>
      <c r="K239">
        <v>42.37</v>
      </c>
      <c r="L239">
        <v>0.0</v>
      </c>
      <c r="M239"/>
      <c r="N239"/>
      <c r="O239">
        <v>7.63</v>
      </c>
      <c r="P239">
        <v>0.0</v>
      </c>
      <c r="Q239">
        <v>50.0</v>
      </c>
      <c r="R239"/>
      <c r="S239"/>
      <c r="T239"/>
      <c r="U239"/>
      <c r="V239"/>
      <c r="W239">
        <v>18</v>
      </c>
    </row>
    <row r="240" spans="1:23">
      <c r="A240"/>
      <c r="B240" t="s">
        <v>73</v>
      </c>
      <c r="C240" t="s">
        <v>73</v>
      </c>
      <c r="D240" t="s">
        <v>33</v>
      </c>
      <c r="E240" t="s">
        <v>34</v>
      </c>
      <c r="F240" t="str">
        <f>"0016796"</f>
        <v>0016796</v>
      </c>
      <c r="G240">
        <v>6</v>
      </c>
      <c r="H240" t="str">
        <f>"20613583107"</f>
        <v>20613583107</v>
      </c>
      <c r="I240" t="s">
        <v>74</v>
      </c>
      <c r="J240"/>
      <c r="K240">
        <v>42.37</v>
      </c>
      <c r="L240">
        <v>0.0</v>
      </c>
      <c r="M240"/>
      <c r="N240"/>
      <c r="O240">
        <v>7.63</v>
      </c>
      <c r="P240">
        <v>0.0</v>
      </c>
      <c r="Q240">
        <v>50.0</v>
      </c>
      <c r="R240"/>
      <c r="S240"/>
      <c r="T240"/>
      <c r="U240"/>
      <c r="V240"/>
      <c r="W240">
        <v>18</v>
      </c>
    </row>
    <row r="241" spans="1:23">
      <c r="A241"/>
      <c r="B241" t="s">
        <v>73</v>
      </c>
      <c r="C241" t="s">
        <v>73</v>
      </c>
      <c r="D241" t="s">
        <v>33</v>
      </c>
      <c r="E241" t="s">
        <v>34</v>
      </c>
      <c r="F241" t="str">
        <f>"0016797"</f>
        <v>0016797</v>
      </c>
      <c r="G241">
        <v>6</v>
      </c>
      <c r="H241" t="str">
        <f>"20613583107"</f>
        <v>20613583107</v>
      </c>
      <c r="I241" t="s">
        <v>74</v>
      </c>
      <c r="J241"/>
      <c r="K241">
        <v>42.37</v>
      </c>
      <c r="L241">
        <v>0.0</v>
      </c>
      <c r="M241"/>
      <c r="N241"/>
      <c r="O241">
        <v>7.63</v>
      </c>
      <c r="P241">
        <v>0.0</v>
      </c>
      <c r="Q241">
        <v>50.0</v>
      </c>
      <c r="R241"/>
      <c r="S241"/>
      <c r="T241"/>
      <c r="U241"/>
      <c r="V241"/>
      <c r="W241">
        <v>18</v>
      </c>
    </row>
    <row r="242" spans="1:23">
      <c r="A242"/>
      <c r="B242" t="s">
        <v>73</v>
      </c>
      <c r="C242" t="s">
        <v>73</v>
      </c>
      <c r="D242" t="s">
        <v>33</v>
      </c>
      <c r="E242" t="s">
        <v>34</v>
      </c>
      <c r="F242" t="str">
        <f>"0016798"</f>
        <v>0016798</v>
      </c>
      <c r="G242">
        <v>6</v>
      </c>
      <c r="H242" t="str">
        <f>"20612250066"</f>
        <v>20612250066</v>
      </c>
      <c r="I242" t="s">
        <v>53</v>
      </c>
      <c r="J242"/>
      <c r="K242">
        <v>42.37</v>
      </c>
      <c r="L242">
        <v>0.0</v>
      </c>
      <c r="M242"/>
      <c r="N242"/>
      <c r="O242">
        <v>7.63</v>
      </c>
      <c r="P242">
        <v>0.0</v>
      </c>
      <c r="Q242">
        <v>50.0</v>
      </c>
      <c r="R242"/>
      <c r="S242"/>
      <c r="T242"/>
      <c r="U242"/>
      <c r="V242"/>
      <c r="W242">
        <v>18</v>
      </c>
    </row>
    <row r="243" spans="1:23">
      <c r="A243"/>
      <c r="B243" t="s">
        <v>73</v>
      </c>
      <c r="C243" t="s">
        <v>73</v>
      </c>
      <c r="D243" t="s">
        <v>33</v>
      </c>
      <c r="E243" t="s">
        <v>34</v>
      </c>
      <c r="F243" t="str">
        <f>"0016799"</f>
        <v>0016799</v>
      </c>
      <c r="G243">
        <v>6</v>
      </c>
      <c r="H243" t="str">
        <f>"20610600787"</f>
        <v>20610600787</v>
      </c>
      <c r="I243" t="s">
        <v>55</v>
      </c>
      <c r="J243"/>
      <c r="K243">
        <v>42.37</v>
      </c>
      <c r="L243">
        <v>0.0</v>
      </c>
      <c r="M243"/>
      <c r="N243"/>
      <c r="O243">
        <v>7.63</v>
      </c>
      <c r="P243">
        <v>0.0</v>
      </c>
      <c r="Q243">
        <v>50.0</v>
      </c>
      <c r="R243"/>
      <c r="S243"/>
      <c r="T243"/>
      <c r="U243"/>
      <c r="V243"/>
      <c r="W243">
        <v>18</v>
      </c>
    </row>
    <row r="244" spans="1:23">
      <c r="A244"/>
      <c r="B244" t="s">
        <v>73</v>
      </c>
      <c r="C244" t="s">
        <v>73</v>
      </c>
      <c r="D244" t="s">
        <v>33</v>
      </c>
      <c r="E244" t="s">
        <v>34</v>
      </c>
      <c r="F244" t="str">
        <f>"0016800"</f>
        <v>0016800</v>
      </c>
      <c r="G244">
        <v>6</v>
      </c>
      <c r="H244" t="str">
        <f>"20613583107"</f>
        <v>20613583107</v>
      </c>
      <c r="I244" t="s">
        <v>74</v>
      </c>
      <c r="J244"/>
      <c r="K244">
        <v>42.37</v>
      </c>
      <c r="L244">
        <v>0.0</v>
      </c>
      <c r="M244"/>
      <c r="N244"/>
      <c r="O244">
        <v>7.63</v>
      </c>
      <c r="P244">
        <v>0.0</v>
      </c>
      <c r="Q244">
        <v>50.0</v>
      </c>
      <c r="R244"/>
      <c r="S244"/>
      <c r="T244"/>
      <c r="U244"/>
      <c r="V244"/>
      <c r="W244">
        <v>18</v>
      </c>
    </row>
    <row r="245" spans="1:23">
      <c r="A245"/>
      <c r="B245" t="s">
        <v>73</v>
      </c>
      <c r="C245" t="s">
        <v>73</v>
      </c>
      <c r="D245" t="s">
        <v>33</v>
      </c>
      <c r="E245" t="s">
        <v>34</v>
      </c>
      <c r="F245" t="str">
        <f>"0016801"</f>
        <v>0016801</v>
      </c>
      <c r="G245">
        <v>6</v>
      </c>
      <c r="H245" t="str">
        <f>"20610600787"</f>
        <v>20610600787</v>
      </c>
      <c r="I245" t="s">
        <v>55</v>
      </c>
      <c r="J245"/>
      <c r="K245">
        <v>42.37</v>
      </c>
      <c r="L245">
        <v>0.0</v>
      </c>
      <c r="M245"/>
      <c r="N245"/>
      <c r="O245">
        <v>7.63</v>
      </c>
      <c r="P245">
        <v>0.0</v>
      </c>
      <c r="Q245">
        <v>50.0</v>
      </c>
      <c r="R245"/>
      <c r="S245"/>
      <c r="T245"/>
      <c r="U245"/>
      <c r="V245"/>
      <c r="W245">
        <v>18</v>
      </c>
    </row>
    <row r="246" spans="1:23">
      <c r="A246"/>
      <c r="B246" t="s">
        <v>73</v>
      </c>
      <c r="C246" t="s">
        <v>73</v>
      </c>
      <c r="D246" t="s">
        <v>33</v>
      </c>
      <c r="E246" t="s">
        <v>34</v>
      </c>
      <c r="F246" t="str">
        <f>"0016802"</f>
        <v>0016802</v>
      </c>
      <c r="G246">
        <v>6</v>
      </c>
      <c r="H246" t="str">
        <f>"20610600787"</f>
        <v>20610600787</v>
      </c>
      <c r="I246" t="s">
        <v>55</v>
      </c>
      <c r="J246"/>
      <c r="K246">
        <v>42.37</v>
      </c>
      <c r="L246">
        <v>0.0</v>
      </c>
      <c r="M246"/>
      <c r="N246"/>
      <c r="O246">
        <v>7.63</v>
      </c>
      <c r="P246">
        <v>0.0</v>
      </c>
      <c r="Q246">
        <v>50.0</v>
      </c>
      <c r="R246"/>
      <c r="S246"/>
      <c r="T246"/>
      <c r="U246"/>
      <c r="V246"/>
      <c r="W246">
        <v>18</v>
      </c>
    </row>
    <row r="247" spans="1:23">
      <c r="A247"/>
      <c r="B247" t="s">
        <v>73</v>
      </c>
      <c r="C247" t="s">
        <v>73</v>
      </c>
      <c r="D247" t="s">
        <v>33</v>
      </c>
      <c r="E247" t="s">
        <v>34</v>
      </c>
      <c r="F247" t="str">
        <f>"0016803"</f>
        <v>0016803</v>
      </c>
      <c r="G247">
        <v>6</v>
      </c>
      <c r="H247" t="str">
        <f>"20610600787"</f>
        <v>20610600787</v>
      </c>
      <c r="I247" t="s">
        <v>55</v>
      </c>
      <c r="J247"/>
      <c r="K247">
        <v>12.71</v>
      </c>
      <c r="L247">
        <v>0.0</v>
      </c>
      <c r="M247"/>
      <c r="N247"/>
      <c r="O247">
        <v>2.29</v>
      </c>
      <c r="P247">
        <v>0.0</v>
      </c>
      <c r="Q247">
        <v>15.0</v>
      </c>
      <c r="R247"/>
      <c r="S247"/>
      <c r="T247"/>
      <c r="U247"/>
      <c r="V247"/>
      <c r="W247">
        <v>18</v>
      </c>
    </row>
    <row r="248" spans="1:23">
      <c r="A248"/>
      <c r="B248" t="s">
        <v>73</v>
      </c>
      <c r="C248" t="s">
        <v>73</v>
      </c>
      <c r="D248" t="s">
        <v>33</v>
      </c>
      <c r="E248" t="s">
        <v>34</v>
      </c>
      <c r="F248" t="str">
        <f>"0016804"</f>
        <v>0016804</v>
      </c>
      <c r="G248">
        <v>6</v>
      </c>
      <c r="H248" t="str">
        <f>"20610600787"</f>
        <v>20610600787</v>
      </c>
      <c r="I248" t="s">
        <v>55</v>
      </c>
      <c r="J248"/>
      <c r="K248">
        <v>42.37</v>
      </c>
      <c r="L248">
        <v>0.0</v>
      </c>
      <c r="M248"/>
      <c r="N248"/>
      <c r="O248">
        <v>7.63</v>
      </c>
      <c r="P248">
        <v>0.0</v>
      </c>
      <c r="Q248">
        <v>50.0</v>
      </c>
      <c r="R248"/>
      <c r="S248"/>
      <c r="T248"/>
      <c r="U248"/>
      <c r="V248"/>
      <c r="W248">
        <v>18</v>
      </c>
    </row>
    <row r="249" spans="1:23">
      <c r="A249"/>
      <c r="B249" t="s">
        <v>73</v>
      </c>
      <c r="C249" t="s">
        <v>73</v>
      </c>
      <c r="D249" t="s">
        <v>33</v>
      </c>
      <c r="E249" t="s">
        <v>34</v>
      </c>
      <c r="F249" t="str">
        <f>"0016805"</f>
        <v>0016805</v>
      </c>
      <c r="G249">
        <v>6</v>
      </c>
      <c r="H249" t="str">
        <f>"20613583107"</f>
        <v>20613583107</v>
      </c>
      <c r="I249" t="s">
        <v>74</v>
      </c>
      <c r="J249"/>
      <c r="K249">
        <v>42.37</v>
      </c>
      <c r="L249">
        <v>0.0</v>
      </c>
      <c r="M249"/>
      <c r="N249"/>
      <c r="O249">
        <v>7.63</v>
      </c>
      <c r="P249">
        <v>0.0</v>
      </c>
      <c r="Q249">
        <v>50.0</v>
      </c>
      <c r="R249"/>
      <c r="S249"/>
      <c r="T249"/>
      <c r="U249"/>
      <c r="V249"/>
      <c r="W249">
        <v>18</v>
      </c>
    </row>
    <row r="250" spans="1:23">
      <c r="A250"/>
      <c r="B250" t="s">
        <v>73</v>
      </c>
      <c r="C250" t="s">
        <v>73</v>
      </c>
      <c r="D250" t="s">
        <v>33</v>
      </c>
      <c r="E250" t="s">
        <v>34</v>
      </c>
      <c r="F250" t="str">
        <f>"0016806"</f>
        <v>0016806</v>
      </c>
      <c r="G250">
        <v>6</v>
      </c>
      <c r="H250" t="str">
        <f>"20613583107"</f>
        <v>20613583107</v>
      </c>
      <c r="I250" t="s">
        <v>74</v>
      </c>
      <c r="J250"/>
      <c r="K250">
        <v>42.37</v>
      </c>
      <c r="L250">
        <v>0.0</v>
      </c>
      <c r="M250"/>
      <c r="N250"/>
      <c r="O250">
        <v>7.63</v>
      </c>
      <c r="P250">
        <v>0.0</v>
      </c>
      <c r="Q250">
        <v>50.0</v>
      </c>
      <c r="R250"/>
      <c r="S250"/>
      <c r="T250"/>
      <c r="U250"/>
      <c r="V250"/>
      <c r="W250">
        <v>18</v>
      </c>
    </row>
    <row r="251" spans="1:23">
      <c r="A251"/>
      <c r="B251" t="s">
        <v>73</v>
      </c>
      <c r="C251" t="s">
        <v>73</v>
      </c>
      <c r="D251" t="s">
        <v>33</v>
      </c>
      <c r="E251" t="s">
        <v>34</v>
      </c>
      <c r="F251" t="str">
        <f>"0016807"</f>
        <v>0016807</v>
      </c>
      <c r="G251">
        <v>6</v>
      </c>
      <c r="H251" t="str">
        <f>"20613583107"</f>
        <v>20613583107</v>
      </c>
      <c r="I251" t="s">
        <v>74</v>
      </c>
      <c r="J251"/>
      <c r="K251">
        <v>42.37</v>
      </c>
      <c r="L251">
        <v>0.0</v>
      </c>
      <c r="M251"/>
      <c r="N251"/>
      <c r="O251">
        <v>7.63</v>
      </c>
      <c r="P251">
        <v>0.0</v>
      </c>
      <c r="Q251">
        <v>50.0</v>
      </c>
      <c r="R251"/>
      <c r="S251"/>
      <c r="T251"/>
      <c r="U251"/>
      <c r="V251"/>
      <c r="W251">
        <v>18</v>
      </c>
    </row>
    <row r="252" spans="1:23">
      <c r="A252"/>
      <c r="B252" t="s">
        <v>73</v>
      </c>
      <c r="C252" t="s">
        <v>73</v>
      </c>
      <c r="D252" t="s">
        <v>33</v>
      </c>
      <c r="E252" t="s">
        <v>34</v>
      </c>
      <c r="F252" t="str">
        <f>"0016808"</f>
        <v>0016808</v>
      </c>
      <c r="G252">
        <v>6</v>
      </c>
      <c r="H252" t="str">
        <f>"20610600787"</f>
        <v>20610600787</v>
      </c>
      <c r="I252" t="s">
        <v>55</v>
      </c>
      <c r="J252"/>
      <c r="K252">
        <v>42.37</v>
      </c>
      <c r="L252">
        <v>0.0</v>
      </c>
      <c r="M252"/>
      <c r="N252"/>
      <c r="O252">
        <v>7.63</v>
      </c>
      <c r="P252">
        <v>0.0</v>
      </c>
      <c r="Q252">
        <v>50.0</v>
      </c>
      <c r="R252"/>
      <c r="S252"/>
      <c r="T252"/>
      <c r="U252"/>
      <c r="V252"/>
      <c r="W252">
        <v>18</v>
      </c>
    </row>
    <row r="253" spans="1:23">
      <c r="A253"/>
      <c r="B253" t="s">
        <v>73</v>
      </c>
      <c r="C253" t="s">
        <v>73</v>
      </c>
      <c r="D253" t="s">
        <v>33</v>
      </c>
      <c r="E253" t="s">
        <v>34</v>
      </c>
      <c r="F253" t="str">
        <f>"0016809"</f>
        <v>0016809</v>
      </c>
      <c r="G253">
        <v>6</v>
      </c>
      <c r="H253" t="str">
        <f>"20610600787"</f>
        <v>20610600787</v>
      </c>
      <c r="I253" t="s">
        <v>55</v>
      </c>
      <c r="J253"/>
      <c r="K253">
        <v>16.95</v>
      </c>
      <c r="L253">
        <v>0.0</v>
      </c>
      <c r="M253"/>
      <c r="N253"/>
      <c r="O253">
        <v>3.05</v>
      </c>
      <c r="P253">
        <v>0.0</v>
      </c>
      <c r="Q253">
        <v>20.0</v>
      </c>
      <c r="R253"/>
      <c r="S253"/>
      <c r="T253"/>
      <c r="U253"/>
      <c r="V253"/>
      <c r="W253">
        <v>18</v>
      </c>
    </row>
    <row r="254" spans="1:23">
      <c r="A254"/>
      <c r="B254" t="s">
        <v>73</v>
      </c>
      <c r="C254" t="s">
        <v>73</v>
      </c>
      <c r="D254" t="s">
        <v>33</v>
      </c>
      <c r="E254" t="s">
        <v>34</v>
      </c>
      <c r="F254" t="str">
        <f>"0016810"</f>
        <v>0016810</v>
      </c>
      <c r="G254">
        <v>6</v>
      </c>
      <c r="H254" t="str">
        <f>"20610600787"</f>
        <v>20610600787</v>
      </c>
      <c r="I254" t="s">
        <v>55</v>
      </c>
      <c r="J254"/>
      <c r="K254">
        <v>42.37</v>
      </c>
      <c r="L254">
        <v>0.0</v>
      </c>
      <c r="M254"/>
      <c r="N254"/>
      <c r="O254">
        <v>7.63</v>
      </c>
      <c r="P254">
        <v>0.0</v>
      </c>
      <c r="Q254">
        <v>50.0</v>
      </c>
      <c r="R254"/>
      <c r="S254"/>
      <c r="T254"/>
      <c r="U254"/>
      <c r="V254"/>
      <c r="W254">
        <v>18</v>
      </c>
    </row>
    <row r="255" spans="1:23">
      <c r="A255"/>
      <c r="B255" t="s">
        <v>73</v>
      </c>
      <c r="C255" t="s">
        <v>73</v>
      </c>
      <c r="D255" t="s">
        <v>33</v>
      </c>
      <c r="E255" t="s">
        <v>34</v>
      </c>
      <c r="F255" t="str">
        <f>"0016811"</f>
        <v>0016811</v>
      </c>
      <c r="G255">
        <v>1</v>
      </c>
      <c r="H255" t="str">
        <f>"00000001"</f>
        <v>00000001</v>
      </c>
      <c r="I255" t="s">
        <v>35</v>
      </c>
      <c r="J255"/>
      <c r="K255">
        <v>27.12</v>
      </c>
      <c r="L255">
        <v>0.0</v>
      </c>
      <c r="M255"/>
      <c r="N255"/>
      <c r="O255">
        <v>4.88</v>
      </c>
      <c r="P255">
        <v>0.0</v>
      </c>
      <c r="Q255">
        <v>32.0</v>
      </c>
      <c r="R255"/>
      <c r="S255"/>
      <c r="T255"/>
      <c r="U255"/>
      <c r="V255"/>
      <c r="W255">
        <v>18</v>
      </c>
    </row>
    <row r="256" spans="1:23">
      <c r="A256"/>
      <c r="B256" t="s">
        <v>73</v>
      </c>
      <c r="C256" t="s">
        <v>73</v>
      </c>
      <c r="D256" t="s">
        <v>33</v>
      </c>
      <c r="E256" t="s">
        <v>34</v>
      </c>
      <c r="F256" t="str">
        <f>"0016812"</f>
        <v>0016812</v>
      </c>
      <c r="G256">
        <v>6</v>
      </c>
      <c r="H256" t="str">
        <f>"20610600787"</f>
        <v>20610600787</v>
      </c>
      <c r="I256" t="s">
        <v>55</v>
      </c>
      <c r="J256"/>
      <c r="K256">
        <v>42.37</v>
      </c>
      <c r="L256">
        <v>0.0</v>
      </c>
      <c r="M256"/>
      <c r="N256"/>
      <c r="O256">
        <v>7.63</v>
      </c>
      <c r="P256">
        <v>0.0</v>
      </c>
      <c r="Q256">
        <v>50.0</v>
      </c>
      <c r="R256"/>
      <c r="S256"/>
      <c r="T256"/>
      <c r="U256"/>
      <c r="V256"/>
      <c r="W256">
        <v>18</v>
      </c>
    </row>
    <row r="257" spans="1:23">
      <c r="A257"/>
      <c r="B257" t="s">
        <v>73</v>
      </c>
      <c r="C257" t="s">
        <v>73</v>
      </c>
      <c r="D257" t="s">
        <v>33</v>
      </c>
      <c r="E257" t="s">
        <v>34</v>
      </c>
      <c r="F257" t="str">
        <f>"0016813"</f>
        <v>0016813</v>
      </c>
      <c r="G257">
        <v>6</v>
      </c>
      <c r="H257" t="str">
        <f>"20612250066"</f>
        <v>20612250066</v>
      </c>
      <c r="I257" t="s">
        <v>53</v>
      </c>
      <c r="J257"/>
      <c r="K257">
        <v>42.37</v>
      </c>
      <c r="L257">
        <v>0.0</v>
      </c>
      <c r="M257"/>
      <c r="N257"/>
      <c r="O257">
        <v>7.63</v>
      </c>
      <c r="P257">
        <v>0.0</v>
      </c>
      <c r="Q257">
        <v>50.0</v>
      </c>
      <c r="R257"/>
      <c r="S257"/>
      <c r="T257"/>
      <c r="U257"/>
      <c r="V257"/>
      <c r="W257">
        <v>18</v>
      </c>
    </row>
    <row r="258" spans="1:23">
      <c r="A258"/>
      <c r="B258" t="s">
        <v>73</v>
      </c>
      <c r="C258" t="s">
        <v>73</v>
      </c>
      <c r="D258" t="s">
        <v>33</v>
      </c>
      <c r="E258" t="s">
        <v>34</v>
      </c>
      <c r="F258" t="str">
        <f>"0016814"</f>
        <v>0016814</v>
      </c>
      <c r="G258">
        <v>1</v>
      </c>
      <c r="H258" t="str">
        <f>"00000001"</f>
        <v>00000001</v>
      </c>
      <c r="I258" t="s">
        <v>35</v>
      </c>
      <c r="J258"/>
      <c r="K258">
        <v>53.39</v>
      </c>
      <c r="L258">
        <v>0.0</v>
      </c>
      <c r="M258"/>
      <c r="N258"/>
      <c r="O258">
        <v>9.61</v>
      </c>
      <c r="P258">
        <v>0.0</v>
      </c>
      <c r="Q258">
        <v>63.0</v>
      </c>
      <c r="R258"/>
      <c r="S258"/>
      <c r="T258"/>
      <c r="U258"/>
      <c r="V258"/>
      <c r="W258">
        <v>18</v>
      </c>
    </row>
    <row r="259" spans="1:23">
      <c r="A259"/>
      <c r="B259" t="s">
        <v>73</v>
      </c>
      <c r="C259" t="s">
        <v>73</v>
      </c>
      <c r="D259" t="s">
        <v>33</v>
      </c>
      <c r="E259" t="s">
        <v>34</v>
      </c>
      <c r="F259" t="str">
        <f>"0016815"</f>
        <v>0016815</v>
      </c>
      <c r="G259">
        <v>6</v>
      </c>
      <c r="H259" t="str">
        <f>"20610600787"</f>
        <v>20610600787</v>
      </c>
      <c r="I259" t="s">
        <v>55</v>
      </c>
      <c r="J259"/>
      <c r="K259">
        <v>25.42</v>
      </c>
      <c r="L259">
        <v>0.0</v>
      </c>
      <c r="M259"/>
      <c r="N259"/>
      <c r="O259">
        <v>4.58</v>
      </c>
      <c r="P259">
        <v>0.0</v>
      </c>
      <c r="Q259">
        <v>30.0</v>
      </c>
      <c r="R259"/>
      <c r="S259"/>
      <c r="T259"/>
      <c r="U259"/>
      <c r="V259"/>
      <c r="W259">
        <v>18</v>
      </c>
    </row>
    <row r="260" spans="1:23">
      <c r="A260"/>
      <c r="B260" t="s">
        <v>73</v>
      </c>
      <c r="C260" t="s">
        <v>73</v>
      </c>
      <c r="D260" t="s">
        <v>33</v>
      </c>
      <c r="E260" t="s">
        <v>34</v>
      </c>
      <c r="F260" t="str">
        <f>"0016816"</f>
        <v>0016816</v>
      </c>
      <c r="G260">
        <v>6</v>
      </c>
      <c r="H260" t="str">
        <f>"20613583107"</f>
        <v>20613583107</v>
      </c>
      <c r="I260" t="s">
        <v>74</v>
      </c>
      <c r="J260"/>
      <c r="K260">
        <v>42.37</v>
      </c>
      <c r="L260">
        <v>0.0</v>
      </c>
      <c r="M260"/>
      <c r="N260"/>
      <c r="O260">
        <v>7.63</v>
      </c>
      <c r="P260">
        <v>0.0</v>
      </c>
      <c r="Q260">
        <v>50.0</v>
      </c>
      <c r="R260"/>
      <c r="S260"/>
      <c r="T260"/>
      <c r="U260"/>
      <c r="V260"/>
      <c r="W260">
        <v>18</v>
      </c>
    </row>
    <row r="261" spans="1:23">
      <c r="A261"/>
      <c r="B261" t="s">
        <v>73</v>
      </c>
      <c r="C261" t="s">
        <v>73</v>
      </c>
      <c r="D261" t="s">
        <v>33</v>
      </c>
      <c r="E261" t="s">
        <v>34</v>
      </c>
      <c r="F261" t="str">
        <f>"0016817"</f>
        <v>0016817</v>
      </c>
      <c r="G261">
        <v>6</v>
      </c>
      <c r="H261" t="str">
        <f>"20610600787"</f>
        <v>20610600787</v>
      </c>
      <c r="I261" t="s">
        <v>55</v>
      </c>
      <c r="J261"/>
      <c r="K261">
        <v>42.37</v>
      </c>
      <c r="L261">
        <v>0.0</v>
      </c>
      <c r="M261"/>
      <c r="N261"/>
      <c r="O261">
        <v>7.63</v>
      </c>
      <c r="P261">
        <v>0.0</v>
      </c>
      <c r="Q261">
        <v>50.0</v>
      </c>
      <c r="R261"/>
      <c r="S261"/>
      <c r="T261"/>
      <c r="U261"/>
      <c r="V261"/>
      <c r="W261">
        <v>18</v>
      </c>
    </row>
    <row r="262" spans="1:23">
      <c r="A262"/>
      <c r="B262" t="s">
        <v>73</v>
      </c>
      <c r="C262" t="s">
        <v>73</v>
      </c>
      <c r="D262" t="s">
        <v>33</v>
      </c>
      <c r="E262" t="s">
        <v>34</v>
      </c>
      <c r="F262" t="str">
        <f>"0016818"</f>
        <v>0016818</v>
      </c>
      <c r="G262">
        <v>6</v>
      </c>
      <c r="H262" t="str">
        <f>"20612701548"</f>
        <v>20612701548</v>
      </c>
      <c r="I262" t="s">
        <v>75</v>
      </c>
      <c r="J262"/>
      <c r="K262">
        <v>42.37</v>
      </c>
      <c r="L262">
        <v>0.0</v>
      </c>
      <c r="M262"/>
      <c r="N262"/>
      <c r="O262">
        <v>7.63</v>
      </c>
      <c r="P262">
        <v>0.0</v>
      </c>
      <c r="Q262">
        <v>50.0</v>
      </c>
      <c r="R262"/>
      <c r="S262"/>
      <c r="T262"/>
      <c r="U262"/>
      <c r="V262"/>
      <c r="W262">
        <v>18</v>
      </c>
    </row>
    <row r="263" spans="1:23">
      <c r="A263"/>
      <c r="B263" t="s">
        <v>73</v>
      </c>
      <c r="C263" t="s">
        <v>73</v>
      </c>
      <c r="D263" t="s">
        <v>33</v>
      </c>
      <c r="E263" t="s">
        <v>34</v>
      </c>
      <c r="F263" t="str">
        <f>"0016819"</f>
        <v>0016819</v>
      </c>
      <c r="G263">
        <v>6</v>
      </c>
      <c r="H263" t="str">
        <f>"20613583107"</f>
        <v>20613583107</v>
      </c>
      <c r="I263" t="s">
        <v>74</v>
      </c>
      <c r="J263"/>
      <c r="K263">
        <v>42.37</v>
      </c>
      <c r="L263">
        <v>0.0</v>
      </c>
      <c r="M263"/>
      <c r="N263"/>
      <c r="O263">
        <v>7.63</v>
      </c>
      <c r="P263">
        <v>0.0</v>
      </c>
      <c r="Q263">
        <v>50.0</v>
      </c>
      <c r="R263"/>
      <c r="S263"/>
      <c r="T263"/>
      <c r="U263"/>
      <c r="V263"/>
      <c r="W263">
        <v>18</v>
      </c>
    </row>
    <row r="264" spans="1:23">
      <c r="A264"/>
      <c r="B264" t="s">
        <v>73</v>
      </c>
      <c r="C264" t="s">
        <v>73</v>
      </c>
      <c r="D264" t="s">
        <v>33</v>
      </c>
      <c r="E264" t="s">
        <v>34</v>
      </c>
      <c r="F264" t="str">
        <f>"0016820"</f>
        <v>0016820</v>
      </c>
      <c r="G264">
        <v>6</v>
      </c>
      <c r="H264" t="str">
        <f>"20612701548"</f>
        <v>20612701548</v>
      </c>
      <c r="I264" t="s">
        <v>75</v>
      </c>
      <c r="J264"/>
      <c r="K264">
        <v>42.37</v>
      </c>
      <c r="L264">
        <v>0.0</v>
      </c>
      <c r="M264"/>
      <c r="N264"/>
      <c r="O264">
        <v>7.63</v>
      </c>
      <c r="P264">
        <v>0.0</v>
      </c>
      <c r="Q264">
        <v>50.0</v>
      </c>
      <c r="R264"/>
      <c r="S264"/>
      <c r="T264"/>
      <c r="U264"/>
      <c r="V264"/>
      <c r="W264">
        <v>18</v>
      </c>
    </row>
    <row r="265" spans="1:23">
      <c r="A265"/>
      <c r="B265" t="s">
        <v>73</v>
      </c>
      <c r="C265" t="s">
        <v>73</v>
      </c>
      <c r="D265" t="s">
        <v>33</v>
      </c>
      <c r="E265" t="s">
        <v>34</v>
      </c>
      <c r="F265" t="str">
        <f>"0016821"</f>
        <v>0016821</v>
      </c>
      <c r="G265">
        <v>6</v>
      </c>
      <c r="H265" t="str">
        <f>"20612701548"</f>
        <v>20612701548</v>
      </c>
      <c r="I265" t="s">
        <v>75</v>
      </c>
      <c r="J265"/>
      <c r="K265">
        <v>42.37</v>
      </c>
      <c r="L265">
        <v>0.0</v>
      </c>
      <c r="M265"/>
      <c r="N265"/>
      <c r="O265">
        <v>7.63</v>
      </c>
      <c r="P265">
        <v>0.0</v>
      </c>
      <c r="Q265">
        <v>50.0</v>
      </c>
      <c r="R265"/>
      <c r="S265"/>
      <c r="T265"/>
      <c r="U265"/>
      <c r="V265"/>
      <c r="W265">
        <v>18</v>
      </c>
    </row>
    <row r="266" spans="1:23">
      <c r="A266"/>
      <c r="B266" t="s">
        <v>73</v>
      </c>
      <c r="C266" t="s">
        <v>73</v>
      </c>
      <c r="D266" t="s">
        <v>33</v>
      </c>
      <c r="E266" t="s">
        <v>34</v>
      </c>
      <c r="F266" t="str">
        <f>"0016822"</f>
        <v>0016822</v>
      </c>
      <c r="G266">
        <v>6</v>
      </c>
      <c r="H266" t="str">
        <f>"20610600787"</f>
        <v>20610600787</v>
      </c>
      <c r="I266" t="s">
        <v>55</v>
      </c>
      <c r="J266"/>
      <c r="K266">
        <v>25.42</v>
      </c>
      <c r="L266">
        <v>0.0</v>
      </c>
      <c r="M266"/>
      <c r="N266"/>
      <c r="O266">
        <v>4.58</v>
      </c>
      <c r="P266">
        <v>0.0</v>
      </c>
      <c r="Q266">
        <v>30.0</v>
      </c>
      <c r="R266"/>
      <c r="S266"/>
      <c r="T266"/>
      <c r="U266"/>
      <c r="V266"/>
      <c r="W266">
        <v>18</v>
      </c>
    </row>
    <row r="267" spans="1:23">
      <c r="A267"/>
      <c r="B267" t="s">
        <v>73</v>
      </c>
      <c r="C267" t="s">
        <v>73</v>
      </c>
      <c r="D267" t="s">
        <v>33</v>
      </c>
      <c r="E267" t="s">
        <v>34</v>
      </c>
      <c r="F267" t="str">
        <f>"0016823"</f>
        <v>0016823</v>
      </c>
      <c r="G267">
        <v>6</v>
      </c>
      <c r="H267" t="str">
        <f>"20612250066"</f>
        <v>20612250066</v>
      </c>
      <c r="I267" t="s">
        <v>53</v>
      </c>
      <c r="J267"/>
      <c r="K267">
        <v>42.37</v>
      </c>
      <c r="L267">
        <v>0.0</v>
      </c>
      <c r="M267"/>
      <c r="N267"/>
      <c r="O267">
        <v>7.63</v>
      </c>
      <c r="P267">
        <v>0.0</v>
      </c>
      <c r="Q267">
        <v>50.0</v>
      </c>
      <c r="R267"/>
      <c r="S267"/>
      <c r="T267"/>
      <c r="U267"/>
      <c r="V267"/>
      <c r="W267">
        <v>18</v>
      </c>
    </row>
    <row r="268" spans="1:23">
      <c r="A268"/>
      <c r="B268" t="s">
        <v>73</v>
      </c>
      <c r="C268" t="s">
        <v>73</v>
      </c>
      <c r="D268" t="s">
        <v>33</v>
      </c>
      <c r="E268" t="s">
        <v>34</v>
      </c>
      <c r="F268" t="str">
        <f>"0016824"</f>
        <v>0016824</v>
      </c>
      <c r="G268">
        <v>6</v>
      </c>
      <c r="H268" t="str">
        <f>"20610600787"</f>
        <v>20610600787</v>
      </c>
      <c r="I268" t="s">
        <v>55</v>
      </c>
      <c r="J268"/>
      <c r="K268">
        <v>42.37</v>
      </c>
      <c r="L268">
        <v>0.0</v>
      </c>
      <c r="M268"/>
      <c r="N268"/>
      <c r="O268">
        <v>7.63</v>
      </c>
      <c r="P268">
        <v>0.0</v>
      </c>
      <c r="Q268">
        <v>50.0</v>
      </c>
      <c r="R268"/>
      <c r="S268"/>
      <c r="T268"/>
      <c r="U268"/>
      <c r="V268"/>
      <c r="W268">
        <v>18</v>
      </c>
    </row>
    <row r="269" spans="1:23">
      <c r="A269"/>
      <c r="B269" t="s">
        <v>73</v>
      </c>
      <c r="C269" t="s">
        <v>73</v>
      </c>
      <c r="D269" t="s">
        <v>33</v>
      </c>
      <c r="E269" t="s">
        <v>34</v>
      </c>
      <c r="F269" t="str">
        <f>"0016825"</f>
        <v>0016825</v>
      </c>
      <c r="G269">
        <v>6</v>
      </c>
      <c r="H269" t="str">
        <f>"20612250066"</f>
        <v>20612250066</v>
      </c>
      <c r="I269" t="s">
        <v>53</v>
      </c>
      <c r="J269"/>
      <c r="K269">
        <v>42.37</v>
      </c>
      <c r="L269">
        <v>0.0</v>
      </c>
      <c r="M269"/>
      <c r="N269"/>
      <c r="O269">
        <v>7.63</v>
      </c>
      <c r="P269">
        <v>0.0</v>
      </c>
      <c r="Q269">
        <v>50.0</v>
      </c>
      <c r="R269"/>
      <c r="S269"/>
      <c r="T269"/>
      <c r="U269"/>
      <c r="V269"/>
      <c r="W269">
        <v>18</v>
      </c>
    </row>
    <row r="270" spans="1:23">
      <c r="A270"/>
      <c r="B270" t="s">
        <v>73</v>
      </c>
      <c r="C270" t="s">
        <v>73</v>
      </c>
      <c r="D270" t="s">
        <v>33</v>
      </c>
      <c r="E270" t="s">
        <v>34</v>
      </c>
      <c r="F270" t="str">
        <f>"0016826"</f>
        <v>0016826</v>
      </c>
      <c r="G270">
        <v>6</v>
      </c>
      <c r="H270" t="str">
        <f>"20610600787"</f>
        <v>20610600787</v>
      </c>
      <c r="I270" t="s">
        <v>55</v>
      </c>
      <c r="J270"/>
      <c r="K270">
        <v>42.37</v>
      </c>
      <c r="L270">
        <v>0.0</v>
      </c>
      <c r="M270"/>
      <c r="N270"/>
      <c r="O270">
        <v>7.63</v>
      </c>
      <c r="P270">
        <v>0.0</v>
      </c>
      <c r="Q270">
        <v>50.0</v>
      </c>
      <c r="R270"/>
      <c r="S270"/>
      <c r="T270"/>
      <c r="U270"/>
      <c r="V270"/>
      <c r="W270">
        <v>18</v>
      </c>
    </row>
    <row r="271" spans="1:23">
      <c r="A271"/>
      <c r="B271" t="s">
        <v>73</v>
      </c>
      <c r="C271" t="s">
        <v>73</v>
      </c>
      <c r="D271" t="s">
        <v>33</v>
      </c>
      <c r="E271" t="s">
        <v>34</v>
      </c>
      <c r="F271" t="str">
        <f>"0016827"</f>
        <v>0016827</v>
      </c>
      <c r="G271">
        <v>6</v>
      </c>
      <c r="H271" t="str">
        <f>"20610600787"</f>
        <v>20610600787</v>
      </c>
      <c r="I271" t="s">
        <v>55</v>
      </c>
      <c r="J271"/>
      <c r="K271">
        <v>42.37</v>
      </c>
      <c r="L271">
        <v>0.0</v>
      </c>
      <c r="M271"/>
      <c r="N271"/>
      <c r="O271">
        <v>7.63</v>
      </c>
      <c r="P271">
        <v>0.0</v>
      </c>
      <c r="Q271">
        <v>50.0</v>
      </c>
      <c r="R271"/>
      <c r="S271"/>
      <c r="T271"/>
      <c r="U271"/>
      <c r="V271"/>
      <c r="W271">
        <v>18</v>
      </c>
    </row>
    <row r="272" spans="1:23">
      <c r="A272"/>
      <c r="B272" t="s">
        <v>73</v>
      </c>
      <c r="C272" t="s">
        <v>73</v>
      </c>
      <c r="D272" t="s">
        <v>33</v>
      </c>
      <c r="E272" t="s">
        <v>34</v>
      </c>
      <c r="F272" t="str">
        <f>"0016828"</f>
        <v>0016828</v>
      </c>
      <c r="G272">
        <v>6</v>
      </c>
      <c r="H272" t="str">
        <f>"20612701548"</f>
        <v>20612701548</v>
      </c>
      <c r="I272" t="s">
        <v>75</v>
      </c>
      <c r="J272"/>
      <c r="K272">
        <v>42.37</v>
      </c>
      <c r="L272">
        <v>0.0</v>
      </c>
      <c r="M272"/>
      <c r="N272"/>
      <c r="O272">
        <v>7.63</v>
      </c>
      <c r="P272">
        <v>0.0</v>
      </c>
      <c r="Q272">
        <v>50.0</v>
      </c>
      <c r="R272"/>
      <c r="S272"/>
      <c r="T272"/>
      <c r="U272"/>
      <c r="V272"/>
      <c r="W272">
        <v>18</v>
      </c>
    </row>
    <row r="273" spans="1:23">
      <c r="A273"/>
      <c r="B273" t="s">
        <v>73</v>
      </c>
      <c r="C273" t="s">
        <v>73</v>
      </c>
      <c r="D273" t="s">
        <v>33</v>
      </c>
      <c r="E273" t="s">
        <v>34</v>
      </c>
      <c r="F273" t="str">
        <f>"0016829"</f>
        <v>0016829</v>
      </c>
      <c r="G273">
        <v>6</v>
      </c>
      <c r="H273" t="str">
        <f>"20613583107"</f>
        <v>20613583107</v>
      </c>
      <c r="I273" t="s">
        <v>74</v>
      </c>
      <c r="J273"/>
      <c r="K273">
        <v>42.37</v>
      </c>
      <c r="L273">
        <v>0.0</v>
      </c>
      <c r="M273"/>
      <c r="N273"/>
      <c r="O273">
        <v>7.63</v>
      </c>
      <c r="P273">
        <v>0.0</v>
      </c>
      <c r="Q273">
        <v>50.0</v>
      </c>
      <c r="R273"/>
      <c r="S273"/>
      <c r="T273"/>
      <c r="U273"/>
      <c r="V273"/>
      <c r="W273">
        <v>18</v>
      </c>
    </row>
    <row r="274" spans="1:23">
      <c r="A274"/>
      <c r="B274" t="s">
        <v>73</v>
      </c>
      <c r="C274" t="s">
        <v>73</v>
      </c>
      <c r="D274" t="s">
        <v>33</v>
      </c>
      <c r="E274" t="s">
        <v>34</v>
      </c>
      <c r="F274" t="str">
        <f>"0016830"</f>
        <v>0016830</v>
      </c>
      <c r="G274">
        <v>6</v>
      </c>
      <c r="H274" t="str">
        <f>"20610600787"</f>
        <v>20610600787</v>
      </c>
      <c r="I274" t="s">
        <v>55</v>
      </c>
      <c r="J274"/>
      <c r="K274">
        <v>42.37</v>
      </c>
      <c r="L274">
        <v>0.0</v>
      </c>
      <c r="M274"/>
      <c r="N274"/>
      <c r="O274">
        <v>7.63</v>
      </c>
      <c r="P274">
        <v>0.0</v>
      </c>
      <c r="Q274">
        <v>50.0</v>
      </c>
      <c r="R274"/>
      <c r="S274"/>
      <c r="T274"/>
      <c r="U274"/>
      <c r="V274"/>
      <c r="W274">
        <v>18</v>
      </c>
    </row>
    <row r="275" spans="1:23">
      <c r="A275"/>
      <c r="B275" t="s">
        <v>73</v>
      </c>
      <c r="C275" t="s">
        <v>73</v>
      </c>
      <c r="D275" t="s">
        <v>33</v>
      </c>
      <c r="E275" t="s">
        <v>34</v>
      </c>
      <c r="F275" t="str">
        <f>"0016831"</f>
        <v>0016831</v>
      </c>
      <c r="G275">
        <v>6</v>
      </c>
      <c r="H275" t="str">
        <f>"20610600787"</f>
        <v>20610600787</v>
      </c>
      <c r="I275" t="s">
        <v>55</v>
      </c>
      <c r="J275"/>
      <c r="K275">
        <v>42.37</v>
      </c>
      <c r="L275">
        <v>0.0</v>
      </c>
      <c r="M275"/>
      <c r="N275"/>
      <c r="O275">
        <v>7.63</v>
      </c>
      <c r="P275">
        <v>0.0</v>
      </c>
      <c r="Q275">
        <v>50.0</v>
      </c>
      <c r="R275"/>
      <c r="S275"/>
      <c r="T275"/>
      <c r="U275"/>
      <c r="V275"/>
      <c r="W275">
        <v>18</v>
      </c>
    </row>
    <row r="276" spans="1:23">
      <c r="A276"/>
      <c r="B276" t="s">
        <v>73</v>
      </c>
      <c r="C276" t="s">
        <v>73</v>
      </c>
      <c r="D276" t="s">
        <v>33</v>
      </c>
      <c r="E276" t="s">
        <v>34</v>
      </c>
      <c r="F276" t="str">
        <f>"0016832"</f>
        <v>0016832</v>
      </c>
      <c r="G276">
        <v>6</v>
      </c>
      <c r="H276" t="str">
        <f>"20612250066"</f>
        <v>20612250066</v>
      </c>
      <c r="I276" t="s">
        <v>53</v>
      </c>
      <c r="J276"/>
      <c r="K276">
        <v>42.37</v>
      </c>
      <c r="L276">
        <v>0.0</v>
      </c>
      <c r="M276"/>
      <c r="N276"/>
      <c r="O276">
        <v>7.63</v>
      </c>
      <c r="P276">
        <v>0.0</v>
      </c>
      <c r="Q276">
        <v>50.0</v>
      </c>
      <c r="R276"/>
      <c r="S276"/>
      <c r="T276"/>
      <c r="U276"/>
      <c r="V276"/>
      <c r="W276">
        <v>18</v>
      </c>
    </row>
    <row r="277" spans="1:23">
      <c r="A277"/>
      <c r="B277" t="s">
        <v>73</v>
      </c>
      <c r="C277" t="s">
        <v>73</v>
      </c>
      <c r="D277" t="s">
        <v>33</v>
      </c>
      <c r="E277" t="s">
        <v>34</v>
      </c>
      <c r="F277" t="str">
        <f>"0016833"</f>
        <v>0016833</v>
      </c>
      <c r="G277">
        <v>6</v>
      </c>
      <c r="H277" t="str">
        <f>"20610600787"</f>
        <v>20610600787</v>
      </c>
      <c r="I277" t="s">
        <v>55</v>
      </c>
      <c r="J277"/>
      <c r="K277">
        <v>10.17</v>
      </c>
      <c r="L277">
        <v>0.0</v>
      </c>
      <c r="M277"/>
      <c r="N277"/>
      <c r="O277">
        <v>1.83</v>
      </c>
      <c r="P277">
        <v>0.0</v>
      </c>
      <c r="Q277">
        <v>12.0</v>
      </c>
      <c r="R277"/>
      <c r="S277"/>
      <c r="T277"/>
      <c r="U277"/>
      <c r="V277"/>
      <c r="W277">
        <v>18</v>
      </c>
    </row>
    <row r="278" spans="1:23">
      <c r="A278"/>
      <c r="B278" t="s">
        <v>73</v>
      </c>
      <c r="C278" t="s">
        <v>73</v>
      </c>
      <c r="D278" t="s">
        <v>33</v>
      </c>
      <c r="E278" t="s">
        <v>34</v>
      </c>
      <c r="F278" t="str">
        <f>"0016834"</f>
        <v>0016834</v>
      </c>
      <c r="G278">
        <v>6</v>
      </c>
      <c r="H278" t="str">
        <f>"20610600787"</f>
        <v>20610600787</v>
      </c>
      <c r="I278" t="s">
        <v>55</v>
      </c>
      <c r="J278"/>
      <c r="K278">
        <v>42.37</v>
      </c>
      <c r="L278">
        <v>0.0</v>
      </c>
      <c r="M278"/>
      <c r="N278"/>
      <c r="O278">
        <v>7.63</v>
      </c>
      <c r="P278">
        <v>0.0</v>
      </c>
      <c r="Q278">
        <v>50.0</v>
      </c>
      <c r="R278"/>
      <c r="S278"/>
      <c r="T278"/>
      <c r="U278"/>
      <c r="V278"/>
      <c r="W278">
        <v>18</v>
      </c>
    </row>
    <row r="279" spans="1:23">
      <c r="A279"/>
      <c r="B279" t="s">
        <v>73</v>
      </c>
      <c r="C279" t="s">
        <v>73</v>
      </c>
      <c r="D279" t="s">
        <v>33</v>
      </c>
      <c r="E279" t="s">
        <v>34</v>
      </c>
      <c r="F279" t="str">
        <f>"0016835"</f>
        <v>0016835</v>
      </c>
      <c r="G279">
        <v>6</v>
      </c>
      <c r="H279" t="str">
        <f>"20610600787"</f>
        <v>20610600787</v>
      </c>
      <c r="I279" t="s">
        <v>55</v>
      </c>
      <c r="J279"/>
      <c r="K279">
        <v>42.37</v>
      </c>
      <c r="L279">
        <v>0.0</v>
      </c>
      <c r="M279"/>
      <c r="N279"/>
      <c r="O279">
        <v>7.63</v>
      </c>
      <c r="P279">
        <v>0.0</v>
      </c>
      <c r="Q279">
        <v>50.0</v>
      </c>
      <c r="R279"/>
      <c r="S279"/>
      <c r="T279"/>
      <c r="U279"/>
      <c r="V279"/>
      <c r="W279">
        <v>18</v>
      </c>
    </row>
    <row r="280" spans="1:23">
      <c r="A280"/>
      <c r="B280" t="s">
        <v>73</v>
      </c>
      <c r="C280" t="s">
        <v>73</v>
      </c>
      <c r="D280" t="s">
        <v>33</v>
      </c>
      <c r="E280" t="s">
        <v>34</v>
      </c>
      <c r="F280" t="str">
        <f>"0016836"</f>
        <v>0016836</v>
      </c>
      <c r="G280">
        <v>6</v>
      </c>
      <c r="H280" t="str">
        <f>"20610600787"</f>
        <v>20610600787</v>
      </c>
      <c r="I280" t="s">
        <v>55</v>
      </c>
      <c r="J280"/>
      <c r="K280">
        <v>42.37</v>
      </c>
      <c r="L280">
        <v>0.0</v>
      </c>
      <c r="M280"/>
      <c r="N280"/>
      <c r="O280">
        <v>7.63</v>
      </c>
      <c r="P280">
        <v>0.0</v>
      </c>
      <c r="Q280">
        <v>50.0</v>
      </c>
      <c r="R280"/>
      <c r="S280"/>
      <c r="T280"/>
      <c r="U280"/>
      <c r="V280"/>
      <c r="W280">
        <v>18</v>
      </c>
    </row>
    <row r="281" spans="1:23">
      <c r="A281"/>
      <c r="B281" t="s">
        <v>73</v>
      </c>
      <c r="C281" t="s">
        <v>73</v>
      </c>
      <c r="D281" t="s">
        <v>33</v>
      </c>
      <c r="E281" t="s">
        <v>34</v>
      </c>
      <c r="F281" t="str">
        <f>"0016837"</f>
        <v>0016837</v>
      </c>
      <c r="G281">
        <v>6</v>
      </c>
      <c r="H281" t="str">
        <f>"20610600787"</f>
        <v>20610600787</v>
      </c>
      <c r="I281" t="s">
        <v>55</v>
      </c>
      <c r="J281"/>
      <c r="K281">
        <v>42.37</v>
      </c>
      <c r="L281">
        <v>0.0</v>
      </c>
      <c r="M281"/>
      <c r="N281"/>
      <c r="O281">
        <v>7.63</v>
      </c>
      <c r="P281">
        <v>0.0</v>
      </c>
      <c r="Q281">
        <v>50.0</v>
      </c>
      <c r="R281"/>
      <c r="S281"/>
      <c r="T281"/>
      <c r="U281"/>
      <c r="V281"/>
      <c r="W281">
        <v>18</v>
      </c>
    </row>
    <row r="282" spans="1:23">
      <c r="A282"/>
      <c r="B282" t="s">
        <v>73</v>
      </c>
      <c r="C282" t="s">
        <v>73</v>
      </c>
      <c r="D282" t="s">
        <v>33</v>
      </c>
      <c r="E282" t="s">
        <v>34</v>
      </c>
      <c r="F282" t="str">
        <f>"0016838"</f>
        <v>0016838</v>
      </c>
      <c r="G282">
        <v>6</v>
      </c>
      <c r="H282" t="str">
        <f>"20610600787"</f>
        <v>20610600787</v>
      </c>
      <c r="I282" t="s">
        <v>55</v>
      </c>
      <c r="J282"/>
      <c r="K282">
        <v>42.37</v>
      </c>
      <c r="L282">
        <v>0.0</v>
      </c>
      <c r="M282"/>
      <c r="N282"/>
      <c r="O282">
        <v>7.63</v>
      </c>
      <c r="P282">
        <v>0.0</v>
      </c>
      <c r="Q282">
        <v>50.0</v>
      </c>
      <c r="R282"/>
      <c r="S282"/>
      <c r="T282"/>
      <c r="U282"/>
      <c r="V282"/>
      <c r="W282">
        <v>18</v>
      </c>
    </row>
    <row r="283" spans="1:23">
      <c r="A283"/>
      <c r="B283" t="s">
        <v>73</v>
      </c>
      <c r="C283" t="s">
        <v>73</v>
      </c>
      <c r="D283" t="s">
        <v>33</v>
      </c>
      <c r="E283" t="s">
        <v>34</v>
      </c>
      <c r="F283" t="str">
        <f>"0016839"</f>
        <v>0016839</v>
      </c>
      <c r="G283">
        <v>6</v>
      </c>
      <c r="H283" t="str">
        <f>"20610600787"</f>
        <v>20610600787</v>
      </c>
      <c r="I283" t="s">
        <v>55</v>
      </c>
      <c r="J283"/>
      <c r="K283">
        <v>18.64</v>
      </c>
      <c r="L283">
        <v>0.0</v>
      </c>
      <c r="M283"/>
      <c r="N283"/>
      <c r="O283">
        <v>3.36</v>
      </c>
      <c r="P283">
        <v>0.0</v>
      </c>
      <c r="Q283">
        <v>22.0</v>
      </c>
      <c r="R283"/>
      <c r="S283"/>
      <c r="T283"/>
      <c r="U283"/>
      <c r="V283"/>
      <c r="W283">
        <v>18</v>
      </c>
    </row>
    <row r="284" spans="1:23">
      <c r="A284"/>
      <c r="B284" t="s">
        <v>73</v>
      </c>
      <c r="C284" t="s">
        <v>73</v>
      </c>
      <c r="D284" t="s">
        <v>33</v>
      </c>
      <c r="E284" t="s">
        <v>34</v>
      </c>
      <c r="F284" t="str">
        <f>"0016840"</f>
        <v>0016840</v>
      </c>
      <c r="G284">
        <v>6</v>
      </c>
      <c r="H284" t="str">
        <f>"20610600787"</f>
        <v>20610600787</v>
      </c>
      <c r="I284" t="s">
        <v>55</v>
      </c>
      <c r="J284"/>
      <c r="K284">
        <v>42.37</v>
      </c>
      <c r="L284">
        <v>0.0</v>
      </c>
      <c r="M284"/>
      <c r="N284"/>
      <c r="O284">
        <v>7.63</v>
      </c>
      <c r="P284">
        <v>0.0</v>
      </c>
      <c r="Q284">
        <v>50.0</v>
      </c>
      <c r="R284"/>
      <c r="S284"/>
      <c r="T284"/>
      <c r="U284"/>
      <c r="V284"/>
      <c r="W284">
        <v>18</v>
      </c>
    </row>
    <row r="285" spans="1:23">
      <c r="A285"/>
      <c r="B285" t="s">
        <v>73</v>
      </c>
      <c r="C285" t="s">
        <v>73</v>
      </c>
      <c r="D285" t="s">
        <v>33</v>
      </c>
      <c r="E285" t="s">
        <v>34</v>
      </c>
      <c r="F285" t="str">
        <f>"0016841"</f>
        <v>0016841</v>
      </c>
      <c r="G285">
        <v>6</v>
      </c>
      <c r="H285" t="str">
        <f>"20613583107"</f>
        <v>20613583107</v>
      </c>
      <c r="I285" t="s">
        <v>74</v>
      </c>
      <c r="J285"/>
      <c r="K285">
        <v>42.37</v>
      </c>
      <c r="L285">
        <v>0.0</v>
      </c>
      <c r="M285"/>
      <c r="N285"/>
      <c r="O285">
        <v>7.63</v>
      </c>
      <c r="P285">
        <v>0.0</v>
      </c>
      <c r="Q285">
        <v>50.0</v>
      </c>
      <c r="R285"/>
      <c r="S285"/>
      <c r="T285"/>
      <c r="U285"/>
      <c r="V285"/>
      <c r="W285">
        <v>18</v>
      </c>
    </row>
    <row r="286" spans="1:23">
      <c r="A286"/>
      <c r="B286" t="s">
        <v>73</v>
      </c>
      <c r="C286" t="s">
        <v>73</v>
      </c>
      <c r="D286" t="s">
        <v>33</v>
      </c>
      <c r="E286" t="s">
        <v>34</v>
      </c>
      <c r="F286" t="str">
        <f>"0016842"</f>
        <v>0016842</v>
      </c>
      <c r="G286">
        <v>6</v>
      </c>
      <c r="H286" t="str">
        <f>"20613583107"</f>
        <v>20613583107</v>
      </c>
      <c r="I286" t="s">
        <v>74</v>
      </c>
      <c r="J286"/>
      <c r="K286">
        <v>42.37</v>
      </c>
      <c r="L286">
        <v>0.0</v>
      </c>
      <c r="M286"/>
      <c r="N286"/>
      <c r="O286">
        <v>7.63</v>
      </c>
      <c r="P286">
        <v>0.0</v>
      </c>
      <c r="Q286">
        <v>50.0</v>
      </c>
      <c r="R286"/>
      <c r="S286"/>
      <c r="T286"/>
      <c r="U286"/>
      <c r="V286"/>
      <c r="W286">
        <v>18</v>
      </c>
    </row>
    <row r="287" spans="1:23">
      <c r="A287"/>
      <c r="B287" t="s">
        <v>73</v>
      </c>
      <c r="C287" t="s">
        <v>73</v>
      </c>
      <c r="D287" t="s">
        <v>33</v>
      </c>
      <c r="E287" t="s">
        <v>34</v>
      </c>
      <c r="F287" t="str">
        <f>"0016843"</f>
        <v>0016843</v>
      </c>
      <c r="G287">
        <v>6</v>
      </c>
      <c r="H287" t="str">
        <f>"20610600787"</f>
        <v>20610600787</v>
      </c>
      <c r="I287" t="s">
        <v>55</v>
      </c>
      <c r="J287"/>
      <c r="K287">
        <v>23.73</v>
      </c>
      <c r="L287">
        <v>0.0</v>
      </c>
      <c r="M287"/>
      <c r="N287"/>
      <c r="O287">
        <v>4.27</v>
      </c>
      <c r="P287">
        <v>0.0</v>
      </c>
      <c r="Q287">
        <v>28.0</v>
      </c>
      <c r="R287"/>
      <c r="S287"/>
      <c r="T287"/>
      <c r="U287"/>
      <c r="V287"/>
      <c r="W287">
        <v>18</v>
      </c>
    </row>
    <row r="288" spans="1:23">
      <c r="A288"/>
      <c r="B288" t="s">
        <v>73</v>
      </c>
      <c r="C288" t="s">
        <v>73</v>
      </c>
      <c r="D288" t="s">
        <v>33</v>
      </c>
      <c r="E288" t="s">
        <v>34</v>
      </c>
      <c r="F288" t="str">
        <f>"0016844"</f>
        <v>0016844</v>
      </c>
      <c r="G288">
        <v>6</v>
      </c>
      <c r="H288" t="str">
        <f>"20613583107"</f>
        <v>20613583107</v>
      </c>
      <c r="I288" t="s">
        <v>74</v>
      </c>
      <c r="J288"/>
      <c r="K288">
        <v>42.37</v>
      </c>
      <c r="L288">
        <v>0.0</v>
      </c>
      <c r="M288"/>
      <c r="N288"/>
      <c r="O288">
        <v>7.63</v>
      </c>
      <c r="P288">
        <v>0.0</v>
      </c>
      <c r="Q288">
        <v>50.0</v>
      </c>
      <c r="R288"/>
      <c r="S288"/>
      <c r="T288"/>
      <c r="U288"/>
      <c r="V288"/>
      <c r="W288">
        <v>18</v>
      </c>
    </row>
    <row r="289" spans="1:23">
      <c r="A289"/>
      <c r="B289" t="s">
        <v>73</v>
      </c>
      <c r="C289" t="s">
        <v>73</v>
      </c>
      <c r="D289" t="s">
        <v>33</v>
      </c>
      <c r="E289" t="s">
        <v>34</v>
      </c>
      <c r="F289" t="str">
        <f>"0016845"</f>
        <v>0016845</v>
      </c>
      <c r="G289">
        <v>6</v>
      </c>
      <c r="H289" t="str">
        <f>"20610600787"</f>
        <v>20610600787</v>
      </c>
      <c r="I289" t="s">
        <v>55</v>
      </c>
      <c r="J289"/>
      <c r="K289">
        <v>42.37</v>
      </c>
      <c r="L289">
        <v>0.0</v>
      </c>
      <c r="M289"/>
      <c r="N289"/>
      <c r="O289">
        <v>7.63</v>
      </c>
      <c r="P289">
        <v>0.0</v>
      </c>
      <c r="Q289">
        <v>50.0</v>
      </c>
      <c r="R289"/>
      <c r="S289"/>
      <c r="T289"/>
      <c r="U289"/>
      <c r="V289"/>
      <c r="W289">
        <v>18</v>
      </c>
    </row>
    <row r="290" spans="1:23">
      <c r="A290"/>
      <c r="B290" t="s">
        <v>73</v>
      </c>
      <c r="C290" t="s">
        <v>73</v>
      </c>
      <c r="D290" t="s">
        <v>33</v>
      </c>
      <c r="E290" t="s">
        <v>34</v>
      </c>
      <c r="F290" t="str">
        <f>"0016846"</f>
        <v>0016846</v>
      </c>
      <c r="G290">
        <v>6</v>
      </c>
      <c r="H290" t="str">
        <f>"20610600787"</f>
        <v>20610600787</v>
      </c>
      <c r="I290" t="s">
        <v>55</v>
      </c>
      <c r="J290"/>
      <c r="K290">
        <v>42.37</v>
      </c>
      <c r="L290">
        <v>0.0</v>
      </c>
      <c r="M290"/>
      <c r="N290"/>
      <c r="O290">
        <v>7.63</v>
      </c>
      <c r="P290">
        <v>0.0</v>
      </c>
      <c r="Q290">
        <v>50.0</v>
      </c>
      <c r="R290"/>
      <c r="S290"/>
      <c r="T290"/>
      <c r="U290"/>
      <c r="V290"/>
      <c r="W290">
        <v>18</v>
      </c>
    </row>
    <row r="291" spans="1:23">
      <c r="A291"/>
      <c r="B291" t="s">
        <v>73</v>
      </c>
      <c r="C291" t="s">
        <v>73</v>
      </c>
      <c r="D291" t="s">
        <v>33</v>
      </c>
      <c r="E291" t="s">
        <v>34</v>
      </c>
      <c r="F291" t="str">
        <f>"0016847"</f>
        <v>0016847</v>
      </c>
      <c r="G291">
        <v>1</v>
      </c>
      <c r="H291" t="str">
        <f>"00000001"</f>
        <v>00000001</v>
      </c>
      <c r="I291" t="s">
        <v>35</v>
      </c>
      <c r="J291"/>
      <c r="K291">
        <v>5.08</v>
      </c>
      <c r="L291">
        <v>0.0</v>
      </c>
      <c r="M291"/>
      <c r="N291"/>
      <c r="O291">
        <v>0.92</v>
      </c>
      <c r="P291">
        <v>0.0</v>
      </c>
      <c r="Q291">
        <v>6.0</v>
      </c>
      <c r="R291"/>
      <c r="S291"/>
      <c r="T291"/>
      <c r="U291"/>
      <c r="V291"/>
      <c r="W291">
        <v>18</v>
      </c>
    </row>
    <row r="292" spans="1:23">
      <c r="A292"/>
      <c r="B292" t="s">
        <v>73</v>
      </c>
      <c r="C292" t="s">
        <v>73</v>
      </c>
      <c r="D292" t="s">
        <v>33</v>
      </c>
      <c r="E292" t="s">
        <v>34</v>
      </c>
      <c r="F292" t="str">
        <f>"0016848"</f>
        <v>0016848</v>
      </c>
      <c r="G292">
        <v>6</v>
      </c>
      <c r="H292" t="str">
        <f>"20610600787"</f>
        <v>20610600787</v>
      </c>
      <c r="I292" t="s">
        <v>55</v>
      </c>
      <c r="J292"/>
      <c r="K292">
        <v>42.37</v>
      </c>
      <c r="L292">
        <v>0.0</v>
      </c>
      <c r="M292"/>
      <c r="N292"/>
      <c r="O292">
        <v>7.63</v>
      </c>
      <c r="P292">
        <v>0.0</v>
      </c>
      <c r="Q292">
        <v>50.0</v>
      </c>
      <c r="R292"/>
      <c r="S292"/>
      <c r="T292"/>
      <c r="U292"/>
      <c r="V292"/>
      <c r="W292">
        <v>18</v>
      </c>
    </row>
    <row r="293" spans="1:23">
      <c r="A293"/>
      <c r="B293" t="s">
        <v>73</v>
      </c>
      <c r="C293" t="s">
        <v>73</v>
      </c>
      <c r="D293" t="s">
        <v>33</v>
      </c>
      <c r="E293" t="s">
        <v>34</v>
      </c>
      <c r="F293" t="str">
        <f>"0016849"</f>
        <v>0016849</v>
      </c>
      <c r="G293">
        <v>6</v>
      </c>
      <c r="H293" t="str">
        <f>"20610600787"</f>
        <v>20610600787</v>
      </c>
      <c r="I293" t="s">
        <v>55</v>
      </c>
      <c r="J293"/>
      <c r="K293">
        <v>42.37</v>
      </c>
      <c r="L293">
        <v>0.0</v>
      </c>
      <c r="M293"/>
      <c r="N293"/>
      <c r="O293">
        <v>7.63</v>
      </c>
      <c r="P293">
        <v>0.0</v>
      </c>
      <c r="Q293">
        <v>50.0</v>
      </c>
      <c r="R293"/>
      <c r="S293"/>
      <c r="T293"/>
      <c r="U293"/>
      <c r="V293"/>
      <c r="W293">
        <v>18</v>
      </c>
    </row>
    <row r="294" spans="1:23">
      <c r="A294"/>
      <c r="B294" t="s">
        <v>73</v>
      </c>
      <c r="C294" t="s">
        <v>73</v>
      </c>
      <c r="D294" t="s">
        <v>33</v>
      </c>
      <c r="E294" t="s">
        <v>34</v>
      </c>
      <c r="F294" t="str">
        <f>"0016850"</f>
        <v>0016850</v>
      </c>
      <c r="G294">
        <v>6</v>
      </c>
      <c r="H294" t="str">
        <f>"20610600787"</f>
        <v>20610600787</v>
      </c>
      <c r="I294" t="s">
        <v>55</v>
      </c>
      <c r="J294"/>
      <c r="K294">
        <v>42.37</v>
      </c>
      <c r="L294">
        <v>0.0</v>
      </c>
      <c r="M294"/>
      <c r="N294"/>
      <c r="O294">
        <v>7.63</v>
      </c>
      <c r="P294">
        <v>0.0</v>
      </c>
      <c r="Q294">
        <v>50.0</v>
      </c>
      <c r="R294"/>
      <c r="S294"/>
      <c r="T294"/>
      <c r="U294"/>
      <c r="V294"/>
      <c r="W294">
        <v>18</v>
      </c>
    </row>
    <row r="295" spans="1:23">
      <c r="A295"/>
      <c r="B295" t="s">
        <v>73</v>
      </c>
      <c r="C295" t="s">
        <v>73</v>
      </c>
      <c r="D295" t="s">
        <v>33</v>
      </c>
      <c r="E295" t="s">
        <v>34</v>
      </c>
      <c r="F295" t="str">
        <f>"0016851"</f>
        <v>0016851</v>
      </c>
      <c r="G295">
        <v>6</v>
      </c>
      <c r="H295" t="str">
        <f>"20613583107"</f>
        <v>20613583107</v>
      </c>
      <c r="I295" t="s">
        <v>74</v>
      </c>
      <c r="J295"/>
      <c r="K295">
        <v>42.37</v>
      </c>
      <c r="L295">
        <v>0.0</v>
      </c>
      <c r="M295"/>
      <c r="N295"/>
      <c r="O295">
        <v>7.63</v>
      </c>
      <c r="P295">
        <v>0.0</v>
      </c>
      <c r="Q295">
        <v>50.0</v>
      </c>
      <c r="R295"/>
      <c r="S295"/>
      <c r="T295"/>
      <c r="U295"/>
      <c r="V295"/>
      <c r="W295">
        <v>18</v>
      </c>
    </row>
    <row r="296" spans="1:23">
      <c r="A296"/>
      <c r="B296" t="s">
        <v>73</v>
      </c>
      <c r="C296" t="s">
        <v>73</v>
      </c>
      <c r="D296" t="s">
        <v>33</v>
      </c>
      <c r="E296" t="s">
        <v>34</v>
      </c>
      <c r="F296" t="str">
        <f>"0016852"</f>
        <v>0016852</v>
      </c>
      <c r="G296">
        <v>6</v>
      </c>
      <c r="H296" t="str">
        <f>"20612701548"</f>
        <v>20612701548</v>
      </c>
      <c r="I296" t="s">
        <v>75</v>
      </c>
      <c r="J296"/>
      <c r="K296">
        <v>42.37</v>
      </c>
      <c r="L296">
        <v>0.0</v>
      </c>
      <c r="M296"/>
      <c r="N296"/>
      <c r="O296">
        <v>7.63</v>
      </c>
      <c r="P296">
        <v>0.0</v>
      </c>
      <c r="Q296">
        <v>50.0</v>
      </c>
      <c r="R296"/>
      <c r="S296"/>
      <c r="T296"/>
      <c r="U296"/>
      <c r="V296"/>
      <c r="W296">
        <v>18</v>
      </c>
    </row>
    <row r="297" spans="1:23">
      <c r="A297"/>
      <c r="B297" t="s">
        <v>73</v>
      </c>
      <c r="C297" t="s">
        <v>73</v>
      </c>
      <c r="D297" t="s">
        <v>33</v>
      </c>
      <c r="E297" t="s">
        <v>34</v>
      </c>
      <c r="F297" t="str">
        <f>"0016853"</f>
        <v>0016853</v>
      </c>
      <c r="G297">
        <v>6</v>
      </c>
      <c r="H297" t="str">
        <f>"20610600787"</f>
        <v>20610600787</v>
      </c>
      <c r="I297" t="s">
        <v>55</v>
      </c>
      <c r="J297"/>
      <c r="K297">
        <v>42.37</v>
      </c>
      <c r="L297">
        <v>0.0</v>
      </c>
      <c r="M297"/>
      <c r="N297"/>
      <c r="O297">
        <v>7.63</v>
      </c>
      <c r="P297">
        <v>0.0</v>
      </c>
      <c r="Q297">
        <v>50.0</v>
      </c>
      <c r="R297"/>
      <c r="S297"/>
      <c r="T297"/>
      <c r="U297"/>
      <c r="V297"/>
      <c r="W297">
        <v>18</v>
      </c>
    </row>
    <row r="298" spans="1:23">
      <c r="A298"/>
      <c r="B298" t="s">
        <v>73</v>
      </c>
      <c r="C298" t="s">
        <v>73</v>
      </c>
      <c r="D298" t="s">
        <v>33</v>
      </c>
      <c r="E298" t="s">
        <v>34</v>
      </c>
      <c r="F298" t="str">
        <f>"0016854"</f>
        <v>0016854</v>
      </c>
      <c r="G298">
        <v>6</v>
      </c>
      <c r="H298" t="str">
        <f>"20610600787"</f>
        <v>20610600787</v>
      </c>
      <c r="I298" t="s">
        <v>55</v>
      </c>
      <c r="J298"/>
      <c r="K298">
        <v>42.37</v>
      </c>
      <c r="L298">
        <v>0.0</v>
      </c>
      <c r="M298"/>
      <c r="N298"/>
      <c r="O298">
        <v>7.63</v>
      </c>
      <c r="P298">
        <v>0.0</v>
      </c>
      <c r="Q298">
        <v>50.0</v>
      </c>
      <c r="R298"/>
      <c r="S298"/>
      <c r="T298"/>
      <c r="U298"/>
      <c r="V298"/>
      <c r="W298">
        <v>18</v>
      </c>
    </row>
    <row r="299" spans="1:23">
      <c r="A299"/>
      <c r="B299" t="s">
        <v>73</v>
      </c>
      <c r="C299" t="s">
        <v>73</v>
      </c>
      <c r="D299" t="s">
        <v>33</v>
      </c>
      <c r="E299" t="s">
        <v>34</v>
      </c>
      <c r="F299" t="str">
        <f>"0016855"</f>
        <v>0016855</v>
      </c>
      <c r="G299">
        <v>6</v>
      </c>
      <c r="H299" t="str">
        <f>"20610600787"</f>
        <v>20610600787</v>
      </c>
      <c r="I299" t="s">
        <v>55</v>
      </c>
      <c r="J299"/>
      <c r="K299">
        <v>42.37</v>
      </c>
      <c r="L299">
        <v>0.0</v>
      </c>
      <c r="M299"/>
      <c r="N299"/>
      <c r="O299">
        <v>7.63</v>
      </c>
      <c r="P299">
        <v>0.0</v>
      </c>
      <c r="Q299">
        <v>50.0</v>
      </c>
      <c r="R299"/>
      <c r="S299"/>
      <c r="T299"/>
      <c r="U299"/>
      <c r="V299"/>
      <c r="W299">
        <v>18</v>
      </c>
    </row>
    <row r="300" spans="1:23">
      <c r="A300"/>
      <c r="B300" t="s">
        <v>73</v>
      </c>
      <c r="C300" t="s">
        <v>73</v>
      </c>
      <c r="D300" t="s">
        <v>33</v>
      </c>
      <c r="E300" t="s">
        <v>34</v>
      </c>
      <c r="F300" t="str">
        <f>"0016856"</f>
        <v>0016856</v>
      </c>
      <c r="G300">
        <v>1</v>
      </c>
      <c r="H300" t="str">
        <f>"00000001"</f>
        <v>00000001</v>
      </c>
      <c r="I300" t="s">
        <v>35</v>
      </c>
      <c r="J300"/>
      <c r="K300">
        <v>1.69</v>
      </c>
      <c r="L300">
        <v>0.0</v>
      </c>
      <c r="M300"/>
      <c r="N300"/>
      <c r="O300">
        <v>0.31</v>
      </c>
      <c r="P300">
        <v>0.0</v>
      </c>
      <c r="Q300">
        <v>2.0</v>
      </c>
      <c r="R300"/>
      <c r="S300"/>
      <c r="T300"/>
      <c r="U300"/>
      <c r="V300"/>
      <c r="W300">
        <v>18</v>
      </c>
    </row>
    <row r="301" spans="1:23">
      <c r="A301"/>
      <c r="B301" t="s">
        <v>73</v>
      </c>
      <c r="C301" t="s">
        <v>73</v>
      </c>
      <c r="D301" t="s">
        <v>33</v>
      </c>
      <c r="E301" t="s">
        <v>34</v>
      </c>
      <c r="F301" t="str">
        <f>"0016857"</f>
        <v>0016857</v>
      </c>
      <c r="G301">
        <v>6</v>
      </c>
      <c r="H301" t="str">
        <f>"20610600787"</f>
        <v>20610600787</v>
      </c>
      <c r="I301" t="s">
        <v>55</v>
      </c>
      <c r="J301"/>
      <c r="K301">
        <v>42.37</v>
      </c>
      <c r="L301">
        <v>0.0</v>
      </c>
      <c r="M301"/>
      <c r="N301"/>
      <c r="O301">
        <v>7.63</v>
      </c>
      <c r="P301">
        <v>0.0</v>
      </c>
      <c r="Q301">
        <v>50.0</v>
      </c>
      <c r="R301"/>
      <c r="S301"/>
      <c r="T301"/>
      <c r="U301"/>
      <c r="V301"/>
      <c r="W301">
        <v>18</v>
      </c>
    </row>
    <row r="302" spans="1:23">
      <c r="A302"/>
      <c r="B302" t="s">
        <v>73</v>
      </c>
      <c r="C302" t="s">
        <v>73</v>
      </c>
      <c r="D302" t="s">
        <v>33</v>
      </c>
      <c r="E302" t="s">
        <v>34</v>
      </c>
      <c r="F302" t="str">
        <f>"0016858"</f>
        <v>0016858</v>
      </c>
      <c r="G302">
        <v>6</v>
      </c>
      <c r="H302" t="str">
        <f>"20610600787"</f>
        <v>20610600787</v>
      </c>
      <c r="I302" t="s">
        <v>55</v>
      </c>
      <c r="J302"/>
      <c r="K302">
        <v>42.37</v>
      </c>
      <c r="L302">
        <v>0.0</v>
      </c>
      <c r="M302"/>
      <c r="N302"/>
      <c r="O302">
        <v>7.63</v>
      </c>
      <c r="P302">
        <v>0.0</v>
      </c>
      <c r="Q302">
        <v>50.0</v>
      </c>
      <c r="R302"/>
      <c r="S302"/>
      <c r="T302"/>
      <c r="U302"/>
      <c r="V302"/>
      <c r="W302">
        <v>18</v>
      </c>
    </row>
    <row r="303" spans="1:23">
      <c r="A303"/>
      <c r="B303" t="s">
        <v>73</v>
      </c>
      <c r="C303" t="s">
        <v>73</v>
      </c>
      <c r="D303" t="s">
        <v>33</v>
      </c>
      <c r="E303" t="s">
        <v>34</v>
      </c>
      <c r="F303" t="str">
        <f>"0016859"</f>
        <v>0016859</v>
      </c>
      <c r="G303">
        <v>1</v>
      </c>
      <c r="H303" t="str">
        <f>"0001IEIE"</f>
        <v>0001IEIE</v>
      </c>
      <c r="I303" t="s">
        <v>76</v>
      </c>
      <c r="J303"/>
      <c r="K303">
        <v>3.81</v>
      </c>
      <c r="L303">
        <v>0.0</v>
      </c>
      <c r="M303"/>
      <c r="N303"/>
      <c r="O303">
        <v>0.69</v>
      </c>
      <c r="P303">
        <v>0.0</v>
      </c>
      <c r="Q303">
        <v>4.5</v>
      </c>
      <c r="R303"/>
      <c r="S303"/>
      <c r="T303"/>
      <c r="U303"/>
      <c r="V303"/>
      <c r="W303">
        <v>18</v>
      </c>
    </row>
    <row r="304" spans="1:23">
      <c r="A304"/>
      <c r="B304" t="s">
        <v>77</v>
      </c>
      <c r="C304" t="s">
        <v>77</v>
      </c>
      <c r="D304" t="s">
        <v>33</v>
      </c>
      <c r="E304" t="s">
        <v>34</v>
      </c>
      <c r="F304" t="str">
        <f>"0016860"</f>
        <v>0016860</v>
      </c>
      <c r="G304">
        <v>6</v>
      </c>
      <c r="H304" t="str">
        <f>"20612250066"</f>
        <v>20612250066</v>
      </c>
      <c r="I304" t="s">
        <v>53</v>
      </c>
      <c r="J304"/>
      <c r="K304">
        <v>42.37</v>
      </c>
      <c r="L304">
        <v>0.0</v>
      </c>
      <c r="M304"/>
      <c r="N304"/>
      <c r="O304">
        <v>7.63</v>
      </c>
      <c r="P304">
        <v>0.0</v>
      </c>
      <c r="Q304">
        <v>50.0</v>
      </c>
      <c r="R304"/>
      <c r="S304"/>
      <c r="T304"/>
      <c r="U304"/>
      <c r="V304"/>
      <c r="W304">
        <v>18</v>
      </c>
    </row>
    <row r="305" spans="1:23">
      <c r="A305"/>
      <c r="B305" t="s">
        <v>77</v>
      </c>
      <c r="C305" t="s">
        <v>77</v>
      </c>
      <c r="D305" t="s">
        <v>33</v>
      </c>
      <c r="E305" t="s">
        <v>34</v>
      </c>
      <c r="F305" t="str">
        <f>"0016861"</f>
        <v>0016861</v>
      </c>
      <c r="G305">
        <v>1</v>
      </c>
      <c r="H305" t="str">
        <f>"00000001"</f>
        <v>00000001</v>
      </c>
      <c r="I305" t="s">
        <v>35</v>
      </c>
      <c r="J305"/>
      <c r="K305">
        <v>77.97</v>
      </c>
      <c r="L305">
        <v>0.0</v>
      </c>
      <c r="M305"/>
      <c r="N305"/>
      <c r="O305">
        <v>14.03</v>
      </c>
      <c r="P305">
        <v>0.0</v>
      </c>
      <c r="Q305">
        <v>92.0</v>
      </c>
      <c r="R305"/>
      <c r="S305"/>
      <c r="T305"/>
      <c r="U305"/>
      <c r="V305"/>
      <c r="W305">
        <v>18</v>
      </c>
    </row>
    <row r="306" spans="1:23">
      <c r="A306"/>
      <c r="B306" t="s">
        <v>77</v>
      </c>
      <c r="C306" t="s">
        <v>77</v>
      </c>
      <c r="D306" t="s">
        <v>33</v>
      </c>
      <c r="E306" t="s">
        <v>34</v>
      </c>
      <c r="F306" t="str">
        <f>"0016862"</f>
        <v>0016862</v>
      </c>
      <c r="G306">
        <v>1</v>
      </c>
      <c r="H306" t="str">
        <f>"00000001"</f>
        <v>00000001</v>
      </c>
      <c r="I306" t="s">
        <v>35</v>
      </c>
      <c r="J306"/>
      <c r="K306">
        <v>15.25</v>
      </c>
      <c r="L306">
        <v>0.0</v>
      </c>
      <c r="M306"/>
      <c r="N306"/>
      <c r="O306">
        <v>2.75</v>
      </c>
      <c r="P306">
        <v>0.0</v>
      </c>
      <c r="Q306">
        <v>18.0</v>
      </c>
      <c r="R306"/>
      <c r="S306"/>
      <c r="T306"/>
      <c r="U306"/>
      <c r="V306"/>
      <c r="W306">
        <v>18</v>
      </c>
    </row>
    <row r="307" spans="1:23">
      <c r="A307"/>
      <c r="B307" t="s">
        <v>77</v>
      </c>
      <c r="C307" t="s">
        <v>77</v>
      </c>
      <c r="D307" t="s">
        <v>33</v>
      </c>
      <c r="E307" t="s">
        <v>34</v>
      </c>
      <c r="F307" t="str">
        <f>"0016863"</f>
        <v>0016863</v>
      </c>
      <c r="G307">
        <v>1</v>
      </c>
      <c r="H307" t="str">
        <f>"00000001"</f>
        <v>00000001</v>
      </c>
      <c r="I307" t="s">
        <v>35</v>
      </c>
      <c r="J307"/>
      <c r="K307">
        <v>12.71</v>
      </c>
      <c r="L307">
        <v>0.0</v>
      </c>
      <c r="M307"/>
      <c r="N307"/>
      <c r="O307">
        <v>2.29</v>
      </c>
      <c r="P307">
        <v>0.0</v>
      </c>
      <c r="Q307">
        <v>15.0</v>
      </c>
      <c r="R307"/>
      <c r="S307"/>
      <c r="T307"/>
      <c r="U307"/>
      <c r="V307"/>
      <c r="W307">
        <v>18</v>
      </c>
    </row>
    <row r="308" spans="1:23">
      <c r="A308"/>
      <c r="B308" t="s">
        <v>77</v>
      </c>
      <c r="C308" t="s">
        <v>77</v>
      </c>
      <c r="D308" t="s">
        <v>33</v>
      </c>
      <c r="E308" t="s">
        <v>34</v>
      </c>
      <c r="F308" t="str">
        <f>"0016864"</f>
        <v>0016864</v>
      </c>
      <c r="G308">
        <v>1</v>
      </c>
      <c r="H308" t="str">
        <f>"00000001"</f>
        <v>00000001</v>
      </c>
      <c r="I308" t="s">
        <v>35</v>
      </c>
      <c r="J308"/>
      <c r="K308">
        <v>6.78</v>
      </c>
      <c r="L308">
        <v>0.0</v>
      </c>
      <c r="M308"/>
      <c r="N308"/>
      <c r="O308">
        <v>1.22</v>
      </c>
      <c r="P308">
        <v>0.0</v>
      </c>
      <c r="Q308">
        <v>8.0</v>
      </c>
      <c r="R308"/>
      <c r="S308"/>
      <c r="T308"/>
      <c r="U308"/>
      <c r="V308"/>
      <c r="W308">
        <v>18</v>
      </c>
    </row>
    <row r="309" spans="1:23">
      <c r="A309"/>
      <c r="B309" t="s">
        <v>77</v>
      </c>
      <c r="C309" t="s">
        <v>77</v>
      </c>
      <c r="D309" t="s">
        <v>33</v>
      </c>
      <c r="E309" t="s">
        <v>34</v>
      </c>
      <c r="F309" t="str">
        <f>"0016865"</f>
        <v>0016865</v>
      </c>
      <c r="G309">
        <v>1</v>
      </c>
      <c r="H309" t="str">
        <f>"00000001"</f>
        <v>00000001</v>
      </c>
      <c r="I309" t="s">
        <v>35</v>
      </c>
      <c r="J309"/>
      <c r="K309">
        <v>10.17</v>
      </c>
      <c r="L309">
        <v>0.0</v>
      </c>
      <c r="M309"/>
      <c r="N309"/>
      <c r="O309">
        <v>1.83</v>
      </c>
      <c r="P309">
        <v>0.0</v>
      </c>
      <c r="Q309">
        <v>12.0</v>
      </c>
      <c r="R309"/>
      <c r="S309"/>
      <c r="T309"/>
      <c r="U309"/>
      <c r="V309"/>
      <c r="W309">
        <v>18</v>
      </c>
    </row>
    <row r="310" spans="1:23">
      <c r="A310"/>
      <c r="B310" t="s">
        <v>77</v>
      </c>
      <c r="C310" t="s">
        <v>77</v>
      </c>
      <c r="D310" t="s">
        <v>33</v>
      </c>
      <c r="E310" t="s">
        <v>34</v>
      </c>
      <c r="F310" t="str">
        <f>"0016866"</f>
        <v>0016866</v>
      </c>
      <c r="G310">
        <v>1</v>
      </c>
      <c r="H310" t="str">
        <f>"00000001"</f>
        <v>00000001</v>
      </c>
      <c r="I310" t="s">
        <v>35</v>
      </c>
      <c r="J310"/>
      <c r="K310">
        <v>27.12</v>
      </c>
      <c r="L310">
        <v>0.0</v>
      </c>
      <c r="M310"/>
      <c r="N310"/>
      <c r="O310">
        <v>4.88</v>
      </c>
      <c r="P310">
        <v>0.0</v>
      </c>
      <c r="Q310">
        <v>32.0</v>
      </c>
      <c r="R310"/>
      <c r="S310"/>
      <c r="T310"/>
      <c r="U310"/>
      <c r="V310"/>
      <c r="W310">
        <v>18</v>
      </c>
    </row>
    <row r="311" spans="1:23">
      <c r="A311"/>
      <c r="B311" t="s">
        <v>77</v>
      </c>
      <c r="C311" t="s">
        <v>77</v>
      </c>
      <c r="D311" t="s">
        <v>33</v>
      </c>
      <c r="E311" t="s">
        <v>34</v>
      </c>
      <c r="F311" t="str">
        <f>"0016867"</f>
        <v>0016867</v>
      </c>
      <c r="G311">
        <v>1</v>
      </c>
      <c r="H311" t="str">
        <f>"00000001"</f>
        <v>00000001</v>
      </c>
      <c r="I311" t="s">
        <v>35</v>
      </c>
      <c r="J311"/>
      <c r="K311">
        <v>5.08</v>
      </c>
      <c r="L311">
        <v>0.0</v>
      </c>
      <c r="M311"/>
      <c r="N311"/>
      <c r="O311">
        <v>0.92</v>
      </c>
      <c r="P311">
        <v>0.0</v>
      </c>
      <c r="Q311">
        <v>6.0</v>
      </c>
      <c r="R311"/>
      <c r="S311"/>
      <c r="T311"/>
      <c r="U311"/>
      <c r="V311"/>
      <c r="W311">
        <v>18</v>
      </c>
    </row>
    <row r="312" spans="1:23">
      <c r="A312"/>
      <c r="B312" t="s">
        <v>77</v>
      </c>
      <c r="C312" t="s">
        <v>77</v>
      </c>
      <c r="D312" t="s">
        <v>33</v>
      </c>
      <c r="E312" t="s">
        <v>34</v>
      </c>
      <c r="F312" t="str">
        <f>"0016868"</f>
        <v>0016868</v>
      </c>
      <c r="G312">
        <v>1</v>
      </c>
      <c r="H312" t="str">
        <f>"00000001"</f>
        <v>00000001</v>
      </c>
      <c r="I312" t="s">
        <v>35</v>
      </c>
      <c r="J312"/>
      <c r="K312">
        <v>5.93</v>
      </c>
      <c r="L312">
        <v>0.0</v>
      </c>
      <c r="M312"/>
      <c r="N312"/>
      <c r="O312">
        <v>1.07</v>
      </c>
      <c r="P312">
        <v>0.0</v>
      </c>
      <c r="Q312">
        <v>7.0</v>
      </c>
      <c r="R312"/>
      <c r="S312"/>
      <c r="T312"/>
      <c r="U312"/>
      <c r="V312"/>
      <c r="W312">
        <v>18</v>
      </c>
    </row>
    <row r="313" spans="1:23">
      <c r="A313"/>
      <c r="B313" t="s">
        <v>77</v>
      </c>
      <c r="C313" t="s">
        <v>77</v>
      </c>
      <c r="D313" t="s">
        <v>33</v>
      </c>
      <c r="E313" t="s">
        <v>34</v>
      </c>
      <c r="F313" t="str">
        <f>"0016869"</f>
        <v>0016869</v>
      </c>
      <c r="G313">
        <v>1</v>
      </c>
      <c r="H313" t="str">
        <f>"00000001"</f>
        <v>00000001</v>
      </c>
      <c r="I313" t="s">
        <v>35</v>
      </c>
      <c r="J313"/>
      <c r="K313">
        <v>2.54</v>
      </c>
      <c r="L313">
        <v>0.0</v>
      </c>
      <c r="M313"/>
      <c r="N313"/>
      <c r="O313">
        <v>0.46</v>
      </c>
      <c r="P313">
        <v>0.0</v>
      </c>
      <c r="Q313">
        <v>3.0</v>
      </c>
      <c r="R313"/>
      <c r="S313"/>
      <c r="T313"/>
      <c r="U313"/>
      <c r="V313"/>
      <c r="W313">
        <v>18</v>
      </c>
    </row>
    <row r="314" spans="1:23">
      <c r="A314"/>
      <c r="B314" t="s">
        <v>77</v>
      </c>
      <c r="C314" t="s">
        <v>77</v>
      </c>
      <c r="D314" t="s">
        <v>33</v>
      </c>
      <c r="E314" t="s">
        <v>34</v>
      </c>
      <c r="F314" t="str">
        <f>"0016870"</f>
        <v>0016870</v>
      </c>
      <c r="G314">
        <v>1</v>
      </c>
      <c r="H314" t="str">
        <f>"00000001"</f>
        <v>00000001</v>
      </c>
      <c r="I314" t="s">
        <v>35</v>
      </c>
      <c r="J314"/>
      <c r="K314">
        <v>1.69</v>
      </c>
      <c r="L314">
        <v>0.0</v>
      </c>
      <c r="M314"/>
      <c r="N314"/>
      <c r="O314">
        <v>0.31</v>
      </c>
      <c r="P314">
        <v>0.0</v>
      </c>
      <c r="Q314">
        <v>2.0</v>
      </c>
      <c r="R314"/>
      <c r="S314"/>
      <c r="T314"/>
      <c r="U314"/>
      <c r="V314"/>
      <c r="W314">
        <v>18</v>
      </c>
    </row>
    <row r="315" spans="1:23">
      <c r="A315"/>
      <c r="B315" t="s">
        <v>77</v>
      </c>
      <c r="C315" t="s">
        <v>77</v>
      </c>
      <c r="D315" t="s">
        <v>33</v>
      </c>
      <c r="E315" t="s">
        <v>34</v>
      </c>
      <c r="F315" t="str">
        <f>"0016871"</f>
        <v>0016871</v>
      </c>
      <c r="G315">
        <v>1</v>
      </c>
      <c r="H315" t="str">
        <f>"00000001"</f>
        <v>00000001</v>
      </c>
      <c r="I315" t="s">
        <v>35</v>
      </c>
      <c r="J315"/>
      <c r="K315">
        <v>4.24</v>
      </c>
      <c r="L315">
        <v>0.0</v>
      </c>
      <c r="M315"/>
      <c r="N315"/>
      <c r="O315">
        <v>0.76</v>
      </c>
      <c r="P315">
        <v>0.0</v>
      </c>
      <c r="Q315">
        <v>5.0</v>
      </c>
      <c r="R315"/>
      <c r="S315"/>
      <c r="T315"/>
      <c r="U315"/>
      <c r="V315"/>
      <c r="W315">
        <v>18</v>
      </c>
    </row>
    <row r="316" spans="1:23">
      <c r="A316"/>
      <c r="B316" t="s">
        <v>77</v>
      </c>
      <c r="C316" t="s">
        <v>77</v>
      </c>
      <c r="D316" t="s">
        <v>33</v>
      </c>
      <c r="E316" t="s">
        <v>34</v>
      </c>
      <c r="F316" t="str">
        <f>"0016872"</f>
        <v>0016872</v>
      </c>
      <c r="G316">
        <v>1</v>
      </c>
      <c r="H316" t="str">
        <f>"00000001"</f>
        <v>00000001</v>
      </c>
      <c r="I316" t="s">
        <v>35</v>
      </c>
      <c r="J316"/>
      <c r="K316">
        <v>6.78</v>
      </c>
      <c r="L316">
        <v>0.0</v>
      </c>
      <c r="M316"/>
      <c r="N316"/>
      <c r="O316">
        <v>1.22</v>
      </c>
      <c r="P316">
        <v>0.0</v>
      </c>
      <c r="Q316">
        <v>8.0</v>
      </c>
      <c r="R316"/>
      <c r="S316"/>
      <c r="T316"/>
      <c r="U316"/>
      <c r="V316"/>
      <c r="W316">
        <v>18</v>
      </c>
    </row>
    <row r="317" spans="1:23">
      <c r="A317"/>
      <c r="B317" t="s">
        <v>77</v>
      </c>
      <c r="C317" t="s">
        <v>77</v>
      </c>
      <c r="D317" t="s">
        <v>33</v>
      </c>
      <c r="E317" t="s">
        <v>34</v>
      </c>
      <c r="F317" t="str">
        <f>"0016873"</f>
        <v>0016873</v>
      </c>
      <c r="G317">
        <v>1</v>
      </c>
      <c r="H317" t="str">
        <f>"00000001"</f>
        <v>00000001</v>
      </c>
      <c r="I317" t="s">
        <v>35</v>
      </c>
      <c r="J317"/>
      <c r="K317">
        <v>10.17</v>
      </c>
      <c r="L317">
        <v>0.0</v>
      </c>
      <c r="M317"/>
      <c r="N317"/>
      <c r="O317">
        <v>1.83</v>
      </c>
      <c r="P317">
        <v>0.0</v>
      </c>
      <c r="Q317">
        <v>12.0</v>
      </c>
      <c r="R317"/>
      <c r="S317"/>
      <c r="T317"/>
      <c r="U317"/>
      <c r="V317"/>
      <c r="W317">
        <v>18</v>
      </c>
    </row>
    <row r="318" spans="1:23">
      <c r="A318"/>
      <c r="B318" t="s">
        <v>77</v>
      </c>
      <c r="C318" t="s">
        <v>77</v>
      </c>
      <c r="D318" t="s">
        <v>33</v>
      </c>
      <c r="E318" t="s">
        <v>34</v>
      </c>
      <c r="F318" t="str">
        <f>"0016874"</f>
        <v>0016874</v>
      </c>
      <c r="G318">
        <v>1</v>
      </c>
      <c r="H318" t="str">
        <f>"00000001"</f>
        <v>00000001</v>
      </c>
      <c r="I318" t="s">
        <v>35</v>
      </c>
      <c r="J318"/>
      <c r="K318">
        <v>50.85</v>
      </c>
      <c r="L318">
        <v>0.0</v>
      </c>
      <c r="M318"/>
      <c r="N318"/>
      <c r="O318">
        <v>9.15</v>
      </c>
      <c r="P318">
        <v>0.0</v>
      </c>
      <c r="Q318">
        <v>60.0</v>
      </c>
      <c r="R318"/>
      <c r="S318"/>
      <c r="T318"/>
      <c r="U318"/>
      <c r="V318"/>
      <c r="W318">
        <v>18</v>
      </c>
    </row>
    <row r="319" spans="1:23">
      <c r="A319"/>
      <c r="B319" t="s">
        <v>77</v>
      </c>
      <c r="C319" t="s">
        <v>77</v>
      </c>
      <c r="D319" t="s">
        <v>33</v>
      </c>
      <c r="E319" t="s">
        <v>34</v>
      </c>
      <c r="F319" t="str">
        <f>"0016875"</f>
        <v>0016875</v>
      </c>
      <c r="G319">
        <v>1</v>
      </c>
      <c r="H319" t="str">
        <f>"00000001"</f>
        <v>00000001</v>
      </c>
      <c r="I319" t="s">
        <v>35</v>
      </c>
      <c r="J319"/>
      <c r="K319">
        <v>23.73</v>
      </c>
      <c r="L319">
        <v>0.0</v>
      </c>
      <c r="M319"/>
      <c r="N319"/>
      <c r="O319">
        <v>4.27</v>
      </c>
      <c r="P319">
        <v>0.0</v>
      </c>
      <c r="Q319">
        <v>28.0</v>
      </c>
      <c r="R319"/>
      <c r="S319"/>
      <c r="T319"/>
      <c r="U319"/>
      <c r="V319"/>
      <c r="W319">
        <v>18</v>
      </c>
    </row>
    <row r="320" spans="1:23">
      <c r="A320"/>
      <c r="B320" t="s">
        <v>77</v>
      </c>
      <c r="C320" t="s">
        <v>77</v>
      </c>
      <c r="D320" t="s">
        <v>33</v>
      </c>
      <c r="E320" t="s">
        <v>34</v>
      </c>
      <c r="F320" t="str">
        <f>"0016876"</f>
        <v>0016876</v>
      </c>
      <c r="G320">
        <v>6</v>
      </c>
      <c r="H320" t="str">
        <f>"20612701548"</f>
        <v>20612701548</v>
      </c>
      <c r="I320" t="s">
        <v>75</v>
      </c>
      <c r="J320"/>
      <c r="K320">
        <v>42.37</v>
      </c>
      <c r="L320">
        <v>0.0</v>
      </c>
      <c r="M320"/>
      <c r="N320"/>
      <c r="O320">
        <v>7.63</v>
      </c>
      <c r="P320">
        <v>0.0</v>
      </c>
      <c r="Q320">
        <v>50.0</v>
      </c>
      <c r="R320"/>
      <c r="S320"/>
      <c r="T320"/>
      <c r="U320"/>
      <c r="V320"/>
      <c r="W320">
        <v>18</v>
      </c>
    </row>
    <row r="321" spans="1:23">
      <c r="A321"/>
      <c r="B321" t="s">
        <v>77</v>
      </c>
      <c r="C321" t="s">
        <v>77</v>
      </c>
      <c r="D321" t="s">
        <v>33</v>
      </c>
      <c r="E321" t="s">
        <v>34</v>
      </c>
      <c r="F321" t="str">
        <f>"0016877"</f>
        <v>0016877</v>
      </c>
      <c r="G321">
        <v>6</v>
      </c>
      <c r="H321" t="str">
        <f>"20612701548"</f>
        <v>20612701548</v>
      </c>
      <c r="I321" t="s">
        <v>75</v>
      </c>
      <c r="J321"/>
      <c r="K321">
        <v>42.37</v>
      </c>
      <c r="L321">
        <v>0.0</v>
      </c>
      <c r="M321"/>
      <c r="N321"/>
      <c r="O321">
        <v>7.63</v>
      </c>
      <c r="P321">
        <v>0.0</v>
      </c>
      <c r="Q321">
        <v>50.0</v>
      </c>
      <c r="R321"/>
      <c r="S321"/>
      <c r="T321"/>
      <c r="U321"/>
      <c r="V321"/>
      <c r="W321">
        <v>18</v>
      </c>
    </row>
    <row r="322" spans="1:23">
      <c r="A322"/>
      <c r="B322" t="s">
        <v>77</v>
      </c>
      <c r="C322" t="s">
        <v>77</v>
      </c>
      <c r="D322" t="s">
        <v>33</v>
      </c>
      <c r="E322" t="s">
        <v>34</v>
      </c>
      <c r="F322" t="str">
        <f>"0016878"</f>
        <v>0016878</v>
      </c>
      <c r="G322">
        <v>6</v>
      </c>
      <c r="H322" t="str">
        <f>"20612701548"</f>
        <v>20612701548</v>
      </c>
      <c r="I322" t="s">
        <v>75</v>
      </c>
      <c r="J322"/>
      <c r="K322">
        <v>42.37</v>
      </c>
      <c r="L322">
        <v>0.0</v>
      </c>
      <c r="M322"/>
      <c r="N322"/>
      <c r="O322">
        <v>7.63</v>
      </c>
      <c r="P322">
        <v>0.0</v>
      </c>
      <c r="Q322">
        <v>50.0</v>
      </c>
      <c r="R322"/>
      <c r="S322"/>
      <c r="T322"/>
      <c r="U322"/>
      <c r="V322"/>
      <c r="W322">
        <v>18</v>
      </c>
    </row>
    <row r="323" spans="1:23">
      <c r="A323"/>
      <c r="B323" t="s">
        <v>77</v>
      </c>
      <c r="C323" t="s">
        <v>77</v>
      </c>
      <c r="D323" t="s">
        <v>33</v>
      </c>
      <c r="E323" t="s">
        <v>34</v>
      </c>
      <c r="F323" t="str">
        <f>"0016879"</f>
        <v>0016879</v>
      </c>
      <c r="G323">
        <v>1</v>
      </c>
      <c r="H323" t="str">
        <f>"00000001"</f>
        <v>00000001</v>
      </c>
      <c r="I323" t="s">
        <v>35</v>
      </c>
      <c r="J323"/>
      <c r="K323">
        <v>16.95</v>
      </c>
      <c r="L323">
        <v>0.0</v>
      </c>
      <c r="M323"/>
      <c r="N323"/>
      <c r="O323">
        <v>3.05</v>
      </c>
      <c r="P323">
        <v>0.0</v>
      </c>
      <c r="Q323">
        <v>20.0</v>
      </c>
      <c r="R323"/>
      <c r="S323"/>
      <c r="T323"/>
      <c r="U323"/>
      <c r="V323"/>
      <c r="W323">
        <v>18</v>
      </c>
    </row>
    <row r="324" spans="1:23">
      <c r="A324"/>
      <c r="B324" t="s">
        <v>77</v>
      </c>
      <c r="C324" t="s">
        <v>77</v>
      </c>
      <c r="D324" t="s">
        <v>33</v>
      </c>
      <c r="E324" t="s">
        <v>34</v>
      </c>
      <c r="F324" t="str">
        <f>"0016880"</f>
        <v>0016880</v>
      </c>
      <c r="G324">
        <v>6</v>
      </c>
      <c r="H324" t="str">
        <f>"20612701548"</f>
        <v>20612701548</v>
      </c>
      <c r="I324" t="s">
        <v>75</v>
      </c>
      <c r="J324"/>
      <c r="K324">
        <v>42.37</v>
      </c>
      <c r="L324">
        <v>0.0</v>
      </c>
      <c r="M324"/>
      <c r="N324"/>
      <c r="O324">
        <v>7.63</v>
      </c>
      <c r="P324">
        <v>0.0</v>
      </c>
      <c r="Q324">
        <v>50.0</v>
      </c>
      <c r="R324"/>
      <c r="S324"/>
      <c r="T324"/>
      <c r="U324"/>
      <c r="V324"/>
      <c r="W324">
        <v>18</v>
      </c>
    </row>
    <row r="325" spans="1:23">
      <c r="A325"/>
      <c r="B325" t="s">
        <v>77</v>
      </c>
      <c r="C325" t="s">
        <v>77</v>
      </c>
      <c r="D325" t="s">
        <v>33</v>
      </c>
      <c r="E325" t="s">
        <v>34</v>
      </c>
      <c r="F325" t="str">
        <f>"0016881"</f>
        <v>0016881</v>
      </c>
      <c r="G325">
        <v>6</v>
      </c>
      <c r="H325" t="str">
        <f>"20612701548"</f>
        <v>20612701548</v>
      </c>
      <c r="I325" t="s">
        <v>75</v>
      </c>
      <c r="J325"/>
      <c r="K325">
        <v>42.37</v>
      </c>
      <c r="L325">
        <v>0.0</v>
      </c>
      <c r="M325"/>
      <c r="N325"/>
      <c r="O325">
        <v>7.63</v>
      </c>
      <c r="P325">
        <v>0.0</v>
      </c>
      <c r="Q325">
        <v>50.0</v>
      </c>
      <c r="R325"/>
      <c r="S325"/>
      <c r="T325"/>
      <c r="U325"/>
      <c r="V325"/>
      <c r="W325">
        <v>18</v>
      </c>
    </row>
    <row r="326" spans="1:23">
      <c r="A326"/>
      <c r="B326" t="s">
        <v>77</v>
      </c>
      <c r="C326" t="s">
        <v>77</v>
      </c>
      <c r="D326" t="s">
        <v>33</v>
      </c>
      <c r="E326" t="s">
        <v>34</v>
      </c>
      <c r="F326" t="str">
        <f>"0016882"</f>
        <v>0016882</v>
      </c>
      <c r="G326">
        <v>1</v>
      </c>
      <c r="H326" t="str">
        <f>"00000001"</f>
        <v>00000001</v>
      </c>
      <c r="I326" t="s">
        <v>35</v>
      </c>
      <c r="J326"/>
      <c r="K326">
        <v>11.02</v>
      </c>
      <c r="L326">
        <v>0.0</v>
      </c>
      <c r="M326"/>
      <c r="N326"/>
      <c r="O326">
        <v>1.98</v>
      </c>
      <c r="P326">
        <v>0.0</v>
      </c>
      <c r="Q326">
        <v>13.0</v>
      </c>
      <c r="R326"/>
      <c r="S326"/>
      <c r="T326"/>
      <c r="U326"/>
      <c r="V326"/>
      <c r="W326">
        <v>18</v>
      </c>
    </row>
    <row r="327" spans="1:23">
      <c r="A327"/>
      <c r="B327" t="s">
        <v>77</v>
      </c>
      <c r="C327" t="s">
        <v>77</v>
      </c>
      <c r="D327" t="s">
        <v>33</v>
      </c>
      <c r="E327" t="s">
        <v>34</v>
      </c>
      <c r="F327" t="str">
        <f>"0016883"</f>
        <v>0016883</v>
      </c>
      <c r="G327">
        <v>6</v>
      </c>
      <c r="H327" t="str">
        <f>"20612701548"</f>
        <v>20612701548</v>
      </c>
      <c r="I327" t="s">
        <v>75</v>
      </c>
      <c r="J327"/>
      <c r="K327">
        <v>42.37</v>
      </c>
      <c r="L327">
        <v>0.0</v>
      </c>
      <c r="M327"/>
      <c r="N327"/>
      <c r="O327">
        <v>7.63</v>
      </c>
      <c r="P327">
        <v>0.0</v>
      </c>
      <c r="Q327">
        <v>50.0</v>
      </c>
      <c r="R327"/>
      <c r="S327"/>
      <c r="T327"/>
      <c r="U327"/>
      <c r="V327"/>
      <c r="W327">
        <v>18</v>
      </c>
    </row>
    <row r="328" spans="1:23">
      <c r="A328"/>
      <c r="B328" t="s">
        <v>77</v>
      </c>
      <c r="C328" t="s">
        <v>77</v>
      </c>
      <c r="D328" t="s">
        <v>33</v>
      </c>
      <c r="E328" t="s">
        <v>34</v>
      </c>
      <c r="F328" t="str">
        <f>"0016884"</f>
        <v>0016884</v>
      </c>
      <c r="G328">
        <v>1</v>
      </c>
      <c r="H328" t="str">
        <f>"00000001"</f>
        <v>00000001</v>
      </c>
      <c r="I328" t="s">
        <v>35</v>
      </c>
      <c r="J328"/>
      <c r="K328">
        <v>8.9</v>
      </c>
      <c r="L328">
        <v>0.0</v>
      </c>
      <c r="M328"/>
      <c r="N328"/>
      <c r="O328">
        <v>1.6</v>
      </c>
      <c r="P328">
        <v>0.0</v>
      </c>
      <c r="Q328">
        <v>10.5</v>
      </c>
      <c r="R328"/>
      <c r="S328"/>
      <c r="T328"/>
      <c r="U328"/>
      <c r="V328"/>
      <c r="W328">
        <v>18</v>
      </c>
    </row>
    <row r="329" spans="1:23">
      <c r="A329"/>
      <c r="B329" t="s">
        <v>77</v>
      </c>
      <c r="C329" t="s">
        <v>77</v>
      </c>
      <c r="D329" t="s">
        <v>33</v>
      </c>
      <c r="E329" t="s">
        <v>34</v>
      </c>
      <c r="F329" t="str">
        <f>"0016885"</f>
        <v>0016885</v>
      </c>
      <c r="G329">
        <v>6</v>
      </c>
      <c r="H329" t="str">
        <f>"20612701548"</f>
        <v>20612701548</v>
      </c>
      <c r="I329" t="s">
        <v>75</v>
      </c>
      <c r="J329"/>
      <c r="K329">
        <v>42.37</v>
      </c>
      <c r="L329">
        <v>0.0</v>
      </c>
      <c r="M329"/>
      <c r="N329"/>
      <c r="O329">
        <v>7.63</v>
      </c>
      <c r="P329">
        <v>0.0</v>
      </c>
      <c r="Q329">
        <v>50.0</v>
      </c>
      <c r="R329"/>
      <c r="S329"/>
      <c r="T329"/>
      <c r="U329"/>
      <c r="V329"/>
      <c r="W329">
        <v>18</v>
      </c>
    </row>
    <row r="330" spans="1:23">
      <c r="A330"/>
      <c r="B330" t="s">
        <v>77</v>
      </c>
      <c r="C330" t="s">
        <v>77</v>
      </c>
      <c r="D330" t="s">
        <v>33</v>
      </c>
      <c r="E330" t="s">
        <v>34</v>
      </c>
      <c r="F330" t="str">
        <f>"0016886"</f>
        <v>0016886</v>
      </c>
      <c r="G330">
        <v>6</v>
      </c>
      <c r="H330" t="str">
        <f>"20612701548"</f>
        <v>20612701548</v>
      </c>
      <c r="I330" t="s">
        <v>75</v>
      </c>
      <c r="J330"/>
      <c r="K330">
        <v>42.37</v>
      </c>
      <c r="L330">
        <v>0.0</v>
      </c>
      <c r="M330"/>
      <c r="N330"/>
      <c r="O330">
        <v>7.63</v>
      </c>
      <c r="P330">
        <v>0.0</v>
      </c>
      <c r="Q330">
        <v>50.0</v>
      </c>
      <c r="R330"/>
      <c r="S330"/>
      <c r="T330"/>
      <c r="U330"/>
      <c r="V330"/>
      <c r="W330">
        <v>18</v>
      </c>
    </row>
    <row r="331" spans="1:23">
      <c r="A331"/>
      <c r="B331" t="s">
        <v>77</v>
      </c>
      <c r="C331" t="s">
        <v>77</v>
      </c>
      <c r="D331" t="s">
        <v>33</v>
      </c>
      <c r="E331" t="s">
        <v>34</v>
      </c>
      <c r="F331" t="str">
        <f>"0016887"</f>
        <v>0016887</v>
      </c>
      <c r="G331">
        <v>1</v>
      </c>
      <c r="H331" t="str">
        <f>"00000001"</f>
        <v>00000001</v>
      </c>
      <c r="I331" t="s">
        <v>35</v>
      </c>
      <c r="J331"/>
      <c r="K331">
        <v>77.97</v>
      </c>
      <c r="L331">
        <v>0.0</v>
      </c>
      <c r="M331"/>
      <c r="N331"/>
      <c r="O331">
        <v>14.03</v>
      </c>
      <c r="P331">
        <v>0.0</v>
      </c>
      <c r="Q331">
        <v>92.0</v>
      </c>
      <c r="R331"/>
      <c r="S331"/>
      <c r="T331"/>
      <c r="U331"/>
      <c r="V331"/>
      <c r="W331">
        <v>18</v>
      </c>
    </row>
    <row r="332" spans="1:23">
      <c r="A332"/>
      <c r="B332" t="s">
        <v>77</v>
      </c>
      <c r="C332" t="s">
        <v>77</v>
      </c>
      <c r="D332" t="s">
        <v>33</v>
      </c>
      <c r="E332" t="s">
        <v>34</v>
      </c>
      <c r="F332" t="str">
        <f>"0016888"</f>
        <v>0016888</v>
      </c>
      <c r="G332">
        <v>1</v>
      </c>
      <c r="H332" t="str">
        <f>"00000001"</f>
        <v>00000001</v>
      </c>
      <c r="I332" t="s">
        <v>35</v>
      </c>
      <c r="J332"/>
      <c r="K332">
        <v>58.47</v>
      </c>
      <c r="L332">
        <v>0.0</v>
      </c>
      <c r="M332"/>
      <c r="N332"/>
      <c r="O332">
        <v>10.53</v>
      </c>
      <c r="P332">
        <v>0.0</v>
      </c>
      <c r="Q332">
        <v>69.0</v>
      </c>
      <c r="R332"/>
      <c r="S332"/>
      <c r="T332"/>
      <c r="U332"/>
      <c r="V332"/>
      <c r="W332">
        <v>18</v>
      </c>
    </row>
    <row r="333" spans="1:23">
      <c r="A333"/>
      <c r="B333" t="s">
        <v>77</v>
      </c>
      <c r="C333" t="s">
        <v>77</v>
      </c>
      <c r="D333" t="s">
        <v>33</v>
      </c>
      <c r="E333" t="s">
        <v>34</v>
      </c>
      <c r="F333" t="str">
        <f>"0016889"</f>
        <v>0016889</v>
      </c>
      <c r="G333">
        <v>1</v>
      </c>
      <c r="H333" t="str">
        <f>"00000001"</f>
        <v>00000001</v>
      </c>
      <c r="I333" t="s">
        <v>35</v>
      </c>
      <c r="J333"/>
      <c r="K333">
        <v>55.08</v>
      </c>
      <c r="L333">
        <v>0.0</v>
      </c>
      <c r="M333"/>
      <c r="N333"/>
      <c r="O333">
        <v>9.92</v>
      </c>
      <c r="P333">
        <v>0.0</v>
      </c>
      <c r="Q333">
        <v>65.0</v>
      </c>
      <c r="R333"/>
      <c r="S333"/>
      <c r="T333"/>
      <c r="U333"/>
      <c r="V333"/>
      <c r="W333">
        <v>18</v>
      </c>
    </row>
    <row r="334" spans="1:23">
      <c r="A334"/>
      <c r="B334" t="s">
        <v>78</v>
      </c>
      <c r="C334" t="s">
        <v>78</v>
      </c>
      <c r="D334" t="s">
        <v>33</v>
      </c>
      <c r="E334" t="s">
        <v>34</v>
      </c>
      <c r="F334" t="str">
        <f>"0016890"</f>
        <v>0016890</v>
      </c>
      <c r="G334">
        <v>1</v>
      </c>
      <c r="H334" t="str">
        <f>"00000001"</f>
        <v>00000001</v>
      </c>
      <c r="I334" t="s">
        <v>35</v>
      </c>
      <c r="J334"/>
      <c r="K334">
        <v>5.08</v>
      </c>
      <c r="L334">
        <v>0.0</v>
      </c>
      <c r="M334"/>
      <c r="N334"/>
      <c r="O334">
        <v>0.92</v>
      </c>
      <c r="P334">
        <v>0.0</v>
      </c>
      <c r="Q334">
        <v>6.0</v>
      </c>
      <c r="R334"/>
      <c r="S334"/>
      <c r="T334"/>
      <c r="U334"/>
      <c r="V334"/>
      <c r="W334">
        <v>18</v>
      </c>
    </row>
    <row r="335" spans="1:23">
      <c r="A335"/>
      <c r="B335" t="s">
        <v>78</v>
      </c>
      <c r="C335" t="s">
        <v>78</v>
      </c>
      <c r="D335" t="s">
        <v>33</v>
      </c>
      <c r="E335" t="s">
        <v>34</v>
      </c>
      <c r="F335" t="str">
        <f>"0016891"</f>
        <v>0016891</v>
      </c>
      <c r="G335">
        <v>6</v>
      </c>
      <c r="H335" t="str">
        <f>"10418877150"</f>
        <v>10418877150</v>
      </c>
      <c r="I335" t="s">
        <v>79</v>
      </c>
      <c r="J335"/>
      <c r="K335">
        <v>8.47</v>
      </c>
      <c r="L335">
        <v>0.0</v>
      </c>
      <c r="M335"/>
      <c r="N335"/>
      <c r="O335">
        <v>1.53</v>
      </c>
      <c r="P335">
        <v>0.0</v>
      </c>
      <c r="Q335">
        <v>10.0</v>
      </c>
      <c r="R335"/>
      <c r="S335"/>
      <c r="T335"/>
      <c r="U335"/>
      <c r="V335"/>
      <c r="W335">
        <v>18</v>
      </c>
    </row>
    <row r="336" spans="1:23">
      <c r="A336"/>
      <c r="B336" t="s">
        <v>78</v>
      </c>
      <c r="C336" t="s">
        <v>78</v>
      </c>
      <c r="D336" t="s">
        <v>33</v>
      </c>
      <c r="E336" t="s">
        <v>34</v>
      </c>
      <c r="F336" t="str">
        <f>"0016892"</f>
        <v>0016892</v>
      </c>
      <c r="G336">
        <v>1</v>
      </c>
      <c r="H336" t="str">
        <f>"00000001"</f>
        <v>00000001</v>
      </c>
      <c r="I336" t="s">
        <v>35</v>
      </c>
      <c r="J336"/>
      <c r="K336">
        <v>25.85</v>
      </c>
      <c r="L336">
        <v>0.0</v>
      </c>
      <c r="M336"/>
      <c r="N336"/>
      <c r="O336">
        <v>4.65</v>
      </c>
      <c r="P336">
        <v>0.0</v>
      </c>
      <c r="Q336">
        <v>30.5</v>
      </c>
      <c r="R336"/>
      <c r="S336"/>
      <c r="T336"/>
      <c r="U336"/>
      <c r="V336"/>
      <c r="W336">
        <v>18</v>
      </c>
    </row>
    <row r="337" spans="1:23">
      <c r="A337"/>
      <c r="B337" t="s">
        <v>78</v>
      </c>
      <c r="C337" t="s">
        <v>78</v>
      </c>
      <c r="D337" t="s">
        <v>33</v>
      </c>
      <c r="E337" t="s">
        <v>34</v>
      </c>
      <c r="F337" t="str">
        <f>"0016893"</f>
        <v>0016893</v>
      </c>
      <c r="G337">
        <v>1</v>
      </c>
      <c r="H337" t="str">
        <f>"00000001"</f>
        <v>00000001</v>
      </c>
      <c r="I337" t="s">
        <v>35</v>
      </c>
      <c r="J337"/>
      <c r="K337">
        <v>2.12</v>
      </c>
      <c r="L337">
        <v>0.0</v>
      </c>
      <c r="M337"/>
      <c r="N337"/>
      <c r="O337">
        <v>0.38</v>
      </c>
      <c r="P337">
        <v>0.0</v>
      </c>
      <c r="Q337">
        <v>2.5</v>
      </c>
      <c r="R337"/>
      <c r="S337"/>
      <c r="T337"/>
      <c r="U337"/>
      <c r="V337"/>
      <c r="W337">
        <v>18</v>
      </c>
    </row>
    <row r="338" spans="1:23">
      <c r="A338"/>
      <c r="B338" t="s">
        <v>78</v>
      </c>
      <c r="C338" t="s">
        <v>78</v>
      </c>
      <c r="D338" t="s">
        <v>33</v>
      </c>
      <c r="E338" t="s">
        <v>34</v>
      </c>
      <c r="F338" t="str">
        <f>"0016894"</f>
        <v>0016894</v>
      </c>
      <c r="G338">
        <v>6</v>
      </c>
      <c r="H338" t="str">
        <f>"20612701548"</f>
        <v>20612701548</v>
      </c>
      <c r="I338" t="s">
        <v>75</v>
      </c>
      <c r="J338"/>
      <c r="K338">
        <v>42.37</v>
      </c>
      <c r="L338">
        <v>0.0</v>
      </c>
      <c r="M338"/>
      <c r="N338"/>
      <c r="O338">
        <v>7.63</v>
      </c>
      <c r="P338">
        <v>0.0</v>
      </c>
      <c r="Q338">
        <v>50.0</v>
      </c>
      <c r="R338"/>
      <c r="S338"/>
      <c r="T338"/>
      <c r="U338"/>
      <c r="V338"/>
      <c r="W338">
        <v>18</v>
      </c>
    </row>
    <row r="339" spans="1:23">
      <c r="A339"/>
      <c r="B339" t="s">
        <v>78</v>
      </c>
      <c r="C339" t="s">
        <v>78</v>
      </c>
      <c r="D339" t="s">
        <v>33</v>
      </c>
      <c r="E339" t="s">
        <v>34</v>
      </c>
      <c r="F339" t="str">
        <f>"0016895"</f>
        <v>0016895</v>
      </c>
      <c r="G339">
        <v>1</v>
      </c>
      <c r="H339" t="str">
        <f>"00000001"</f>
        <v>00000001</v>
      </c>
      <c r="I339" t="s">
        <v>35</v>
      </c>
      <c r="J339"/>
      <c r="K339">
        <v>42.81</v>
      </c>
      <c r="L339">
        <v>0.0</v>
      </c>
      <c r="M339"/>
      <c r="N339"/>
      <c r="O339">
        <v>7.71</v>
      </c>
      <c r="P339">
        <v>0.0</v>
      </c>
      <c r="Q339">
        <v>50.52</v>
      </c>
      <c r="R339"/>
      <c r="S339"/>
      <c r="T339"/>
      <c r="U339"/>
      <c r="V339"/>
      <c r="W339">
        <v>18</v>
      </c>
    </row>
    <row r="340" spans="1:23">
      <c r="A340"/>
      <c r="B340" t="s">
        <v>78</v>
      </c>
      <c r="C340" t="s">
        <v>78</v>
      </c>
      <c r="D340" t="s">
        <v>33</v>
      </c>
      <c r="E340" t="s">
        <v>34</v>
      </c>
      <c r="F340" t="str">
        <f>"0016896"</f>
        <v>0016896</v>
      </c>
      <c r="G340">
        <v>1</v>
      </c>
      <c r="H340" t="str">
        <f>"00000001"</f>
        <v>00000001</v>
      </c>
      <c r="I340" t="s">
        <v>35</v>
      </c>
      <c r="J340"/>
      <c r="K340">
        <v>20.34</v>
      </c>
      <c r="L340">
        <v>0.0</v>
      </c>
      <c r="M340"/>
      <c r="N340"/>
      <c r="O340">
        <v>3.66</v>
      </c>
      <c r="P340">
        <v>0.0</v>
      </c>
      <c r="Q340">
        <v>24.0</v>
      </c>
      <c r="R340"/>
      <c r="S340"/>
      <c r="T340"/>
      <c r="U340"/>
      <c r="V340"/>
      <c r="W340">
        <v>18</v>
      </c>
    </row>
    <row r="341" spans="1:23">
      <c r="A341"/>
      <c r="B341" t="s">
        <v>78</v>
      </c>
      <c r="C341" t="s">
        <v>78</v>
      </c>
      <c r="D341" t="s">
        <v>33</v>
      </c>
      <c r="E341" t="s">
        <v>34</v>
      </c>
      <c r="F341" t="str">
        <f>"0016897"</f>
        <v>0016897</v>
      </c>
      <c r="G341">
        <v>1</v>
      </c>
      <c r="H341" t="str">
        <f>"00000001"</f>
        <v>00000001</v>
      </c>
      <c r="I341" t="s">
        <v>35</v>
      </c>
      <c r="J341"/>
      <c r="K341">
        <v>25.42</v>
      </c>
      <c r="L341">
        <v>0.0</v>
      </c>
      <c r="M341"/>
      <c r="N341"/>
      <c r="O341">
        <v>4.58</v>
      </c>
      <c r="P341">
        <v>0.0</v>
      </c>
      <c r="Q341">
        <v>30.0</v>
      </c>
      <c r="R341"/>
      <c r="S341"/>
      <c r="T341"/>
      <c r="U341"/>
      <c r="V341"/>
      <c r="W341">
        <v>18</v>
      </c>
    </row>
    <row r="342" spans="1:23">
      <c r="A342"/>
      <c r="B342" t="s">
        <v>78</v>
      </c>
      <c r="C342" t="s">
        <v>78</v>
      </c>
      <c r="D342" t="s">
        <v>33</v>
      </c>
      <c r="E342" t="s">
        <v>34</v>
      </c>
      <c r="F342" t="str">
        <f>"0016898"</f>
        <v>0016898</v>
      </c>
      <c r="G342">
        <v>1</v>
      </c>
      <c r="H342" t="str">
        <f>"00000001"</f>
        <v>00000001</v>
      </c>
      <c r="I342" t="s">
        <v>35</v>
      </c>
      <c r="J342"/>
      <c r="K342">
        <v>5.08</v>
      </c>
      <c r="L342">
        <v>0.0</v>
      </c>
      <c r="M342"/>
      <c r="N342"/>
      <c r="O342">
        <v>0.92</v>
      </c>
      <c r="P342">
        <v>0.0</v>
      </c>
      <c r="Q342">
        <v>6.0</v>
      </c>
      <c r="R342"/>
      <c r="S342"/>
      <c r="T342"/>
      <c r="U342"/>
      <c r="V342"/>
      <c r="W342">
        <v>18</v>
      </c>
    </row>
    <row r="343" spans="1:23">
      <c r="A343"/>
      <c r="B343" t="s">
        <v>78</v>
      </c>
      <c r="C343" t="s">
        <v>78</v>
      </c>
      <c r="D343" t="s">
        <v>33</v>
      </c>
      <c r="E343" t="s">
        <v>34</v>
      </c>
      <c r="F343" t="str">
        <f>"0016899"</f>
        <v>0016899</v>
      </c>
      <c r="G343">
        <v>1</v>
      </c>
      <c r="H343" t="str">
        <f>"00000001"</f>
        <v>00000001</v>
      </c>
      <c r="I343" t="s">
        <v>35</v>
      </c>
      <c r="J343"/>
      <c r="K343">
        <v>15.25</v>
      </c>
      <c r="L343">
        <v>0.0</v>
      </c>
      <c r="M343"/>
      <c r="N343"/>
      <c r="O343">
        <v>2.75</v>
      </c>
      <c r="P343">
        <v>0.0</v>
      </c>
      <c r="Q343">
        <v>18.0</v>
      </c>
      <c r="R343"/>
      <c r="S343"/>
      <c r="T343"/>
      <c r="U343"/>
      <c r="V343"/>
      <c r="W343">
        <v>18</v>
      </c>
    </row>
    <row r="344" spans="1:23">
      <c r="A344"/>
      <c r="B344" t="s">
        <v>78</v>
      </c>
      <c r="C344" t="s">
        <v>78</v>
      </c>
      <c r="D344" t="s">
        <v>33</v>
      </c>
      <c r="E344" t="s">
        <v>34</v>
      </c>
      <c r="F344" t="str">
        <f>"0016900"</f>
        <v>0016900</v>
      </c>
      <c r="G344">
        <v>1</v>
      </c>
      <c r="H344" t="str">
        <f>"00000001"</f>
        <v>00000001</v>
      </c>
      <c r="I344" t="s">
        <v>35</v>
      </c>
      <c r="J344"/>
      <c r="K344">
        <v>6.78</v>
      </c>
      <c r="L344">
        <v>0.0</v>
      </c>
      <c r="M344"/>
      <c r="N344"/>
      <c r="O344">
        <v>1.22</v>
      </c>
      <c r="P344">
        <v>0.0</v>
      </c>
      <c r="Q344">
        <v>8.0</v>
      </c>
      <c r="R344"/>
      <c r="S344"/>
      <c r="T344"/>
      <c r="U344"/>
      <c r="V344"/>
      <c r="W344">
        <v>18</v>
      </c>
    </row>
    <row r="345" spans="1:23">
      <c r="A345"/>
      <c r="B345" t="s">
        <v>78</v>
      </c>
      <c r="C345" t="s">
        <v>78</v>
      </c>
      <c r="D345" t="s">
        <v>33</v>
      </c>
      <c r="E345" t="s">
        <v>34</v>
      </c>
      <c r="F345" t="str">
        <f>"0016901"</f>
        <v>0016901</v>
      </c>
      <c r="G345">
        <v>1</v>
      </c>
      <c r="H345" t="str">
        <f>"00000001"</f>
        <v>00000001</v>
      </c>
      <c r="I345" t="s">
        <v>35</v>
      </c>
      <c r="J345"/>
      <c r="K345">
        <v>16.95</v>
      </c>
      <c r="L345">
        <v>0.0</v>
      </c>
      <c r="M345"/>
      <c r="N345"/>
      <c r="O345">
        <v>3.05</v>
      </c>
      <c r="P345">
        <v>0.0</v>
      </c>
      <c r="Q345">
        <v>20.0</v>
      </c>
      <c r="R345"/>
      <c r="S345"/>
      <c r="T345"/>
      <c r="U345"/>
      <c r="V345"/>
      <c r="W345">
        <v>18</v>
      </c>
    </row>
    <row r="346" spans="1:23">
      <c r="A346"/>
      <c r="B346" t="s">
        <v>78</v>
      </c>
      <c r="C346" t="s">
        <v>78</v>
      </c>
      <c r="D346" t="s">
        <v>33</v>
      </c>
      <c r="E346" t="s">
        <v>34</v>
      </c>
      <c r="F346" t="str">
        <f>"0016902"</f>
        <v>0016902</v>
      </c>
      <c r="G346">
        <v>6</v>
      </c>
      <c r="H346" t="str">
        <f>"20612701548"</f>
        <v>20612701548</v>
      </c>
      <c r="I346" t="s">
        <v>75</v>
      </c>
      <c r="J346"/>
      <c r="K346">
        <v>42.37</v>
      </c>
      <c r="L346">
        <v>0.0</v>
      </c>
      <c r="M346"/>
      <c r="N346"/>
      <c r="O346">
        <v>7.63</v>
      </c>
      <c r="P346">
        <v>0.0</v>
      </c>
      <c r="Q346">
        <v>50.0</v>
      </c>
      <c r="R346"/>
      <c r="S346"/>
      <c r="T346"/>
      <c r="U346"/>
      <c r="V346"/>
      <c r="W346">
        <v>18</v>
      </c>
    </row>
    <row r="347" spans="1:23">
      <c r="A347"/>
      <c r="B347" t="s">
        <v>78</v>
      </c>
      <c r="C347" t="s">
        <v>78</v>
      </c>
      <c r="D347" t="s">
        <v>33</v>
      </c>
      <c r="E347" t="s">
        <v>34</v>
      </c>
      <c r="F347" t="str">
        <f>"0016903"</f>
        <v>0016903</v>
      </c>
      <c r="G347">
        <v>1</v>
      </c>
      <c r="H347" t="str">
        <f>"00000001"</f>
        <v>00000001</v>
      </c>
      <c r="I347" t="s">
        <v>35</v>
      </c>
      <c r="J347"/>
      <c r="K347">
        <v>27.12</v>
      </c>
      <c r="L347">
        <v>0.0</v>
      </c>
      <c r="M347"/>
      <c r="N347"/>
      <c r="O347">
        <v>4.88</v>
      </c>
      <c r="P347">
        <v>0.0</v>
      </c>
      <c r="Q347">
        <v>32.0</v>
      </c>
      <c r="R347"/>
      <c r="S347"/>
      <c r="T347"/>
      <c r="U347"/>
      <c r="V347"/>
      <c r="W347">
        <v>18</v>
      </c>
    </row>
    <row r="348" spans="1:23">
      <c r="A348"/>
      <c r="B348" t="s">
        <v>78</v>
      </c>
      <c r="C348" t="s">
        <v>78</v>
      </c>
      <c r="D348" t="s">
        <v>33</v>
      </c>
      <c r="E348" t="s">
        <v>34</v>
      </c>
      <c r="F348" t="str">
        <f>"0016904"</f>
        <v>0016904</v>
      </c>
      <c r="G348">
        <v>1</v>
      </c>
      <c r="H348" t="str">
        <f>"00000001"</f>
        <v>00000001</v>
      </c>
      <c r="I348" t="s">
        <v>35</v>
      </c>
      <c r="J348"/>
      <c r="K348">
        <v>3.39</v>
      </c>
      <c r="L348">
        <v>0.0</v>
      </c>
      <c r="M348"/>
      <c r="N348"/>
      <c r="O348">
        <v>0.61</v>
      </c>
      <c r="P348">
        <v>0.0</v>
      </c>
      <c r="Q348">
        <v>4.0</v>
      </c>
      <c r="R348"/>
      <c r="S348"/>
      <c r="T348"/>
      <c r="U348"/>
      <c r="V348"/>
      <c r="W348">
        <v>18</v>
      </c>
    </row>
    <row r="349" spans="1:23">
      <c r="A349"/>
      <c r="B349" t="s">
        <v>78</v>
      </c>
      <c r="C349" t="s">
        <v>78</v>
      </c>
      <c r="D349" t="s">
        <v>33</v>
      </c>
      <c r="E349" t="s">
        <v>34</v>
      </c>
      <c r="F349" t="str">
        <f>"0016905"</f>
        <v>0016905</v>
      </c>
      <c r="G349">
        <v>6</v>
      </c>
      <c r="H349" t="str">
        <f>"20612701548"</f>
        <v>20612701548</v>
      </c>
      <c r="I349" t="s">
        <v>75</v>
      </c>
      <c r="J349"/>
      <c r="K349">
        <v>42.37</v>
      </c>
      <c r="L349">
        <v>0.0</v>
      </c>
      <c r="M349"/>
      <c r="N349"/>
      <c r="O349">
        <v>7.63</v>
      </c>
      <c r="P349">
        <v>0.0</v>
      </c>
      <c r="Q349">
        <v>50.0</v>
      </c>
      <c r="R349"/>
      <c r="S349"/>
      <c r="T349"/>
      <c r="U349"/>
      <c r="V349"/>
      <c r="W349">
        <v>18</v>
      </c>
    </row>
    <row r="350" spans="1:23">
      <c r="A350"/>
      <c r="B350" t="s">
        <v>78</v>
      </c>
      <c r="C350" t="s">
        <v>78</v>
      </c>
      <c r="D350" t="s">
        <v>33</v>
      </c>
      <c r="E350" t="s">
        <v>34</v>
      </c>
      <c r="F350" t="str">
        <f>"0016906"</f>
        <v>0016906</v>
      </c>
      <c r="G350">
        <v>1</v>
      </c>
      <c r="H350" t="str">
        <f>"00000001"</f>
        <v>00000001</v>
      </c>
      <c r="I350" t="s">
        <v>35</v>
      </c>
      <c r="J350"/>
      <c r="K350">
        <v>4.24</v>
      </c>
      <c r="L350">
        <v>0.0</v>
      </c>
      <c r="M350"/>
      <c r="N350"/>
      <c r="O350">
        <v>0.76</v>
      </c>
      <c r="P350">
        <v>0.0</v>
      </c>
      <c r="Q350">
        <v>5.0</v>
      </c>
      <c r="R350"/>
      <c r="S350"/>
      <c r="T350"/>
      <c r="U350"/>
      <c r="V350"/>
      <c r="W350">
        <v>18</v>
      </c>
    </row>
    <row r="351" spans="1:23">
      <c r="A351"/>
      <c r="B351" t="s">
        <v>78</v>
      </c>
      <c r="C351" t="s">
        <v>78</v>
      </c>
      <c r="D351" t="s">
        <v>33</v>
      </c>
      <c r="E351" t="s">
        <v>34</v>
      </c>
      <c r="F351" t="str">
        <f>"0016907"</f>
        <v>0016907</v>
      </c>
      <c r="G351">
        <v>6</v>
      </c>
      <c r="H351" t="str">
        <f>"20612701548"</f>
        <v>20612701548</v>
      </c>
      <c r="I351" t="s">
        <v>75</v>
      </c>
      <c r="J351"/>
      <c r="K351">
        <v>42.37</v>
      </c>
      <c r="L351">
        <v>0.0</v>
      </c>
      <c r="M351"/>
      <c r="N351"/>
      <c r="O351">
        <v>7.63</v>
      </c>
      <c r="P351">
        <v>0.0</v>
      </c>
      <c r="Q351">
        <v>50.0</v>
      </c>
      <c r="R351"/>
      <c r="S351"/>
      <c r="T351"/>
      <c r="U351"/>
      <c r="V351"/>
      <c r="W351">
        <v>18</v>
      </c>
    </row>
    <row r="352" spans="1:23">
      <c r="A352"/>
      <c r="B352" t="s">
        <v>78</v>
      </c>
      <c r="C352" t="s">
        <v>78</v>
      </c>
      <c r="D352" t="s">
        <v>33</v>
      </c>
      <c r="E352" t="s">
        <v>34</v>
      </c>
      <c r="F352" t="str">
        <f>"0016908"</f>
        <v>0016908</v>
      </c>
      <c r="G352">
        <v>6</v>
      </c>
      <c r="H352" t="str">
        <f>"20612701548"</f>
        <v>20612701548</v>
      </c>
      <c r="I352" t="s">
        <v>75</v>
      </c>
      <c r="J352"/>
      <c r="K352">
        <v>42.37</v>
      </c>
      <c r="L352">
        <v>0.0</v>
      </c>
      <c r="M352"/>
      <c r="N352"/>
      <c r="O352">
        <v>7.63</v>
      </c>
      <c r="P352">
        <v>0.0</v>
      </c>
      <c r="Q352">
        <v>50.0</v>
      </c>
      <c r="R352"/>
      <c r="S352"/>
      <c r="T352"/>
      <c r="U352"/>
      <c r="V352"/>
      <c r="W352">
        <v>18</v>
      </c>
    </row>
    <row r="353" spans="1:23">
      <c r="A353"/>
      <c r="B353" t="s">
        <v>78</v>
      </c>
      <c r="C353" t="s">
        <v>78</v>
      </c>
      <c r="D353" t="s">
        <v>33</v>
      </c>
      <c r="E353" t="s">
        <v>34</v>
      </c>
      <c r="F353" t="str">
        <f>"0016909"</f>
        <v>0016909</v>
      </c>
      <c r="G353">
        <v>6</v>
      </c>
      <c r="H353" t="str">
        <f>"20612701548"</f>
        <v>20612701548</v>
      </c>
      <c r="I353" t="s">
        <v>75</v>
      </c>
      <c r="J353"/>
      <c r="K353">
        <v>42.37</v>
      </c>
      <c r="L353">
        <v>0.0</v>
      </c>
      <c r="M353"/>
      <c r="N353"/>
      <c r="O353">
        <v>7.63</v>
      </c>
      <c r="P353">
        <v>0.0</v>
      </c>
      <c r="Q353">
        <v>50.0</v>
      </c>
      <c r="R353"/>
      <c r="S353"/>
      <c r="T353"/>
      <c r="U353"/>
      <c r="V353"/>
      <c r="W353">
        <v>18</v>
      </c>
    </row>
    <row r="354" spans="1:23">
      <c r="A354"/>
      <c r="B354" t="s">
        <v>78</v>
      </c>
      <c r="C354" t="s">
        <v>78</v>
      </c>
      <c r="D354" t="s">
        <v>33</v>
      </c>
      <c r="E354" t="s">
        <v>34</v>
      </c>
      <c r="F354" t="str">
        <f>"0016910"</f>
        <v>0016910</v>
      </c>
      <c r="G354">
        <v>1</v>
      </c>
      <c r="H354" t="str">
        <f>"00000001"</f>
        <v>00000001</v>
      </c>
      <c r="I354" t="s">
        <v>35</v>
      </c>
      <c r="J354"/>
      <c r="K354">
        <v>5.08</v>
      </c>
      <c r="L354">
        <v>0.0</v>
      </c>
      <c r="M354"/>
      <c r="N354"/>
      <c r="O354">
        <v>0.92</v>
      </c>
      <c r="P354">
        <v>0.0</v>
      </c>
      <c r="Q354">
        <v>6.0</v>
      </c>
      <c r="R354"/>
      <c r="S354"/>
      <c r="T354"/>
      <c r="U354"/>
      <c r="V354"/>
      <c r="W354">
        <v>18</v>
      </c>
    </row>
    <row r="355" spans="1:23">
      <c r="A355"/>
      <c r="B355" t="s">
        <v>78</v>
      </c>
      <c r="C355" t="s">
        <v>78</v>
      </c>
      <c r="D355" t="s">
        <v>33</v>
      </c>
      <c r="E355" t="s">
        <v>34</v>
      </c>
      <c r="F355" t="str">
        <f>"0016911"</f>
        <v>0016911</v>
      </c>
      <c r="G355">
        <v>1</v>
      </c>
      <c r="H355" t="str">
        <f>"00000001"</f>
        <v>00000001</v>
      </c>
      <c r="I355" t="s">
        <v>35</v>
      </c>
      <c r="J355"/>
      <c r="K355">
        <v>11.02</v>
      </c>
      <c r="L355">
        <v>0.0</v>
      </c>
      <c r="M355"/>
      <c r="N355"/>
      <c r="O355">
        <v>1.98</v>
      </c>
      <c r="P355">
        <v>0.0</v>
      </c>
      <c r="Q355">
        <v>13.0</v>
      </c>
      <c r="R355"/>
      <c r="S355"/>
      <c r="T355"/>
      <c r="U355"/>
      <c r="V355"/>
      <c r="W355">
        <v>18</v>
      </c>
    </row>
    <row r="356" spans="1:23">
      <c r="A356"/>
      <c r="B356" t="s">
        <v>78</v>
      </c>
      <c r="C356" t="s">
        <v>78</v>
      </c>
      <c r="D356" t="s">
        <v>33</v>
      </c>
      <c r="E356" t="s">
        <v>34</v>
      </c>
      <c r="F356" t="str">
        <f>"0016912"</f>
        <v>0016912</v>
      </c>
      <c r="G356">
        <v>6</v>
      </c>
      <c r="H356" t="str">
        <f>"20612701548"</f>
        <v>20612701548</v>
      </c>
      <c r="I356" t="s">
        <v>75</v>
      </c>
      <c r="J356"/>
      <c r="K356">
        <v>42.37</v>
      </c>
      <c r="L356">
        <v>0.0</v>
      </c>
      <c r="M356"/>
      <c r="N356"/>
      <c r="O356">
        <v>7.63</v>
      </c>
      <c r="P356">
        <v>0.0</v>
      </c>
      <c r="Q356">
        <v>50.0</v>
      </c>
      <c r="R356"/>
      <c r="S356"/>
      <c r="T356"/>
      <c r="U356"/>
      <c r="V356"/>
      <c r="W356">
        <v>18</v>
      </c>
    </row>
    <row r="357" spans="1:23">
      <c r="A357"/>
      <c r="B357" t="s">
        <v>78</v>
      </c>
      <c r="C357" t="s">
        <v>78</v>
      </c>
      <c r="D357" t="s">
        <v>33</v>
      </c>
      <c r="E357" t="s">
        <v>34</v>
      </c>
      <c r="F357" t="str">
        <f>"0016913"</f>
        <v>0016913</v>
      </c>
      <c r="G357">
        <v>6</v>
      </c>
      <c r="H357" t="str">
        <f>"20608473174"</f>
        <v>20608473174</v>
      </c>
      <c r="I357" t="s">
        <v>59</v>
      </c>
      <c r="J357"/>
      <c r="K357">
        <v>42.37</v>
      </c>
      <c r="L357">
        <v>0.0</v>
      </c>
      <c r="M357"/>
      <c r="N357"/>
      <c r="O357">
        <v>7.63</v>
      </c>
      <c r="P357">
        <v>0.0</v>
      </c>
      <c r="Q357">
        <v>50.0</v>
      </c>
      <c r="R357"/>
      <c r="S357"/>
      <c r="T357"/>
      <c r="U357"/>
      <c r="V357"/>
      <c r="W357">
        <v>18</v>
      </c>
    </row>
    <row r="358" spans="1:23">
      <c r="A358"/>
      <c r="B358" t="s">
        <v>78</v>
      </c>
      <c r="C358" t="s">
        <v>78</v>
      </c>
      <c r="D358" t="s">
        <v>33</v>
      </c>
      <c r="E358" t="s">
        <v>34</v>
      </c>
      <c r="F358" t="str">
        <f>"0016914"</f>
        <v>0016914</v>
      </c>
      <c r="G358">
        <v>6</v>
      </c>
      <c r="H358" t="str">
        <f>"20612701548"</f>
        <v>20612701548</v>
      </c>
      <c r="I358" t="s">
        <v>75</v>
      </c>
      <c r="J358"/>
      <c r="K358">
        <v>42.37</v>
      </c>
      <c r="L358">
        <v>0.0</v>
      </c>
      <c r="M358"/>
      <c r="N358"/>
      <c r="O358">
        <v>7.63</v>
      </c>
      <c r="P358">
        <v>0.0</v>
      </c>
      <c r="Q358">
        <v>50.0</v>
      </c>
      <c r="R358"/>
      <c r="S358"/>
      <c r="T358"/>
      <c r="U358"/>
      <c r="V358"/>
      <c r="W358">
        <v>18</v>
      </c>
    </row>
    <row r="359" spans="1:23">
      <c r="A359"/>
      <c r="B359" t="s">
        <v>78</v>
      </c>
      <c r="C359" t="s">
        <v>78</v>
      </c>
      <c r="D359" t="s">
        <v>33</v>
      </c>
      <c r="E359" t="s">
        <v>34</v>
      </c>
      <c r="F359" t="str">
        <f>"0016915"</f>
        <v>0016915</v>
      </c>
      <c r="G359">
        <v>1</v>
      </c>
      <c r="H359" t="str">
        <f>"000000MT"</f>
        <v>000000MT</v>
      </c>
      <c r="I359" t="s">
        <v>80</v>
      </c>
      <c r="J359"/>
      <c r="K359">
        <v>18.22</v>
      </c>
      <c r="L359">
        <v>0.0</v>
      </c>
      <c r="M359"/>
      <c r="N359"/>
      <c r="O359">
        <v>3.28</v>
      </c>
      <c r="P359">
        <v>0.0</v>
      </c>
      <c r="Q359">
        <v>21.5</v>
      </c>
      <c r="R359"/>
      <c r="S359"/>
      <c r="T359"/>
      <c r="U359"/>
      <c r="V359"/>
      <c r="W359">
        <v>18</v>
      </c>
    </row>
    <row r="360" spans="1:23">
      <c r="A360"/>
      <c r="B360" t="s">
        <v>78</v>
      </c>
      <c r="C360" t="s">
        <v>78</v>
      </c>
      <c r="D360" t="s">
        <v>33</v>
      </c>
      <c r="E360" t="s">
        <v>34</v>
      </c>
      <c r="F360" t="str">
        <f>"0016916"</f>
        <v>0016916</v>
      </c>
      <c r="G360">
        <v>1</v>
      </c>
      <c r="H360" t="str">
        <f>"000000MT"</f>
        <v>000000MT</v>
      </c>
      <c r="I360" t="s">
        <v>80</v>
      </c>
      <c r="J360"/>
      <c r="K360">
        <v>17.37</v>
      </c>
      <c r="L360">
        <v>0.0</v>
      </c>
      <c r="M360"/>
      <c r="N360"/>
      <c r="O360">
        <v>3.13</v>
      </c>
      <c r="P360">
        <v>0.0</v>
      </c>
      <c r="Q360">
        <v>20.5</v>
      </c>
      <c r="R360"/>
      <c r="S360"/>
      <c r="T360"/>
      <c r="U360"/>
      <c r="V360"/>
      <c r="W360">
        <v>18</v>
      </c>
    </row>
    <row r="361" spans="1:23">
      <c r="A361"/>
      <c r="B361" t="s">
        <v>78</v>
      </c>
      <c r="C361" t="s">
        <v>78</v>
      </c>
      <c r="D361" t="s">
        <v>33</v>
      </c>
      <c r="E361" t="s">
        <v>34</v>
      </c>
      <c r="F361" t="str">
        <f>"0016917"</f>
        <v>0016917</v>
      </c>
      <c r="G361">
        <v>1</v>
      </c>
      <c r="H361" t="str">
        <f>"73258607"</f>
        <v>73258607</v>
      </c>
      <c r="I361" t="s">
        <v>81</v>
      </c>
      <c r="J361"/>
      <c r="K361">
        <v>15.25</v>
      </c>
      <c r="L361">
        <v>0.0</v>
      </c>
      <c r="M361"/>
      <c r="N361"/>
      <c r="O361">
        <v>2.75</v>
      </c>
      <c r="P361">
        <v>0.0</v>
      </c>
      <c r="Q361">
        <v>18.0</v>
      </c>
      <c r="R361"/>
      <c r="S361"/>
      <c r="T361"/>
      <c r="U361"/>
      <c r="V361"/>
      <c r="W361">
        <v>18</v>
      </c>
    </row>
    <row r="362" spans="1:23">
      <c r="A362"/>
      <c r="B362" t="s">
        <v>78</v>
      </c>
      <c r="C362" t="s">
        <v>78</v>
      </c>
      <c r="D362" t="s">
        <v>33</v>
      </c>
      <c r="E362" t="s">
        <v>34</v>
      </c>
      <c r="F362" t="str">
        <f>"0016918"</f>
        <v>0016918</v>
      </c>
      <c r="G362">
        <v>1</v>
      </c>
      <c r="H362" t="str">
        <f>"73258607"</f>
        <v>73258607</v>
      </c>
      <c r="I362" t="s">
        <v>81</v>
      </c>
      <c r="J362"/>
      <c r="K362">
        <v>18.64</v>
      </c>
      <c r="L362">
        <v>0.0</v>
      </c>
      <c r="M362"/>
      <c r="N362"/>
      <c r="O362">
        <v>3.36</v>
      </c>
      <c r="P362">
        <v>0.0</v>
      </c>
      <c r="Q362">
        <v>22.0</v>
      </c>
      <c r="R362"/>
      <c r="S362"/>
      <c r="T362"/>
      <c r="U362"/>
      <c r="V362"/>
      <c r="W362">
        <v>18</v>
      </c>
    </row>
    <row r="363" spans="1:23">
      <c r="A363"/>
      <c r="B363" t="s">
        <v>78</v>
      </c>
      <c r="C363" t="s">
        <v>78</v>
      </c>
      <c r="D363" t="s">
        <v>33</v>
      </c>
      <c r="E363" t="s">
        <v>34</v>
      </c>
      <c r="F363" t="str">
        <f>"0016919"</f>
        <v>0016919</v>
      </c>
      <c r="G363">
        <v>6</v>
      </c>
      <c r="H363" t="str">
        <f>"20612701548"</f>
        <v>20612701548</v>
      </c>
      <c r="I363" t="s">
        <v>75</v>
      </c>
      <c r="J363"/>
      <c r="K363">
        <v>1.69</v>
      </c>
      <c r="L363">
        <v>0.0</v>
      </c>
      <c r="M363"/>
      <c r="N363"/>
      <c r="O363">
        <v>0.31</v>
      </c>
      <c r="P363">
        <v>0.0</v>
      </c>
      <c r="Q363">
        <v>2.0</v>
      </c>
      <c r="R363"/>
      <c r="S363"/>
      <c r="T363"/>
      <c r="U363"/>
      <c r="V363"/>
      <c r="W363">
        <v>18</v>
      </c>
    </row>
    <row r="364" spans="1:23">
      <c r="A364"/>
      <c r="B364" t="s">
        <v>78</v>
      </c>
      <c r="C364" t="s">
        <v>78</v>
      </c>
      <c r="D364" t="s">
        <v>33</v>
      </c>
      <c r="E364" t="s">
        <v>34</v>
      </c>
      <c r="F364" t="str">
        <f>"0016920"</f>
        <v>0016920</v>
      </c>
      <c r="G364">
        <v>6</v>
      </c>
      <c r="H364" t="str">
        <f>"20612701548"</f>
        <v>20612701548</v>
      </c>
      <c r="I364" t="s">
        <v>75</v>
      </c>
      <c r="J364"/>
      <c r="K364">
        <v>42.37</v>
      </c>
      <c r="L364">
        <v>0.0</v>
      </c>
      <c r="M364"/>
      <c r="N364"/>
      <c r="O364">
        <v>7.63</v>
      </c>
      <c r="P364">
        <v>0.0</v>
      </c>
      <c r="Q364">
        <v>50.0</v>
      </c>
      <c r="R364"/>
      <c r="S364"/>
      <c r="T364"/>
      <c r="U364"/>
      <c r="V364"/>
      <c r="W364">
        <v>18</v>
      </c>
    </row>
    <row r="365" spans="1:23">
      <c r="A365"/>
      <c r="B365" t="s">
        <v>78</v>
      </c>
      <c r="C365" t="s">
        <v>78</v>
      </c>
      <c r="D365" t="s">
        <v>33</v>
      </c>
      <c r="E365" t="s">
        <v>34</v>
      </c>
      <c r="F365" t="str">
        <f>"0016921"</f>
        <v>0016921</v>
      </c>
      <c r="G365">
        <v>1</v>
      </c>
      <c r="H365" t="str">
        <f>"00000001"</f>
        <v>00000001</v>
      </c>
      <c r="I365" t="s">
        <v>35</v>
      </c>
      <c r="J365"/>
      <c r="K365">
        <v>46.61</v>
      </c>
      <c r="L365">
        <v>0.0</v>
      </c>
      <c r="M365"/>
      <c r="N365"/>
      <c r="O365">
        <v>8.39</v>
      </c>
      <c r="P365">
        <v>0.0</v>
      </c>
      <c r="Q365">
        <v>55.0</v>
      </c>
      <c r="R365"/>
      <c r="S365"/>
      <c r="T365"/>
      <c r="U365"/>
      <c r="V365"/>
      <c r="W365">
        <v>18</v>
      </c>
    </row>
    <row r="366" spans="1:23">
      <c r="A366"/>
      <c r="B366" t="s">
        <v>82</v>
      </c>
      <c r="C366" t="s">
        <v>82</v>
      </c>
      <c r="D366" t="s">
        <v>33</v>
      </c>
      <c r="E366" t="s">
        <v>34</v>
      </c>
      <c r="F366" t="str">
        <f>"0016922"</f>
        <v>0016922</v>
      </c>
      <c r="G366">
        <v>1</v>
      </c>
      <c r="H366" t="str">
        <f>"00000001"</f>
        <v>00000001</v>
      </c>
      <c r="I366" t="s">
        <v>35</v>
      </c>
      <c r="J366"/>
      <c r="K366">
        <v>5.08</v>
      </c>
      <c r="L366">
        <v>0.0</v>
      </c>
      <c r="M366"/>
      <c r="N366"/>
      <c r="O366">
        <v>0.92</v>
      </c>
      <c r="P366">
        <v>0.0</v>
      </c>
      <c r="Q366">
        <v>6.0</v>
      </c>
      <c r="R366"/>
      <c r="S366"/>
      <c r="T366"/>
      <c r="U366"/>
      <c r="V366"/>
      <c r="W366">
        <v>18</v>
      </c>
    </row>
    <row r="367" spans="1:23">
      <c r="A367"/>
      <c r="B367" t="s">
        <v>82</v>
      </c>
      <c r="C367" t="s">
        <v>82</v>
      </c>
      <c r="D367" t="s">
        <v>33</v>
      </c>
      <c r="E367" t="s">
        <v>34</v>
      </c>
      <c r="F367" t="str">
        <f>"0016923"</f>
        <v>0016923</v>
      </c>
      <c r="G367">
        <v>1</v>
      </c>
      <c r="H367" t="str">
        <f>"00000001"</f>
        <v>00000001</v>
      </c>
      <c r="I367" t="s">
        <v>35</v>
      </c>
      <c r="J367"/>
      <c r="K367">
        <v>8.47</v>
      </c>
      <c r="L367">
        <v>0.0</v>
      </c>
      <c r="M367"/>
      <c r="N367"/>
      <c r="O367">
        <v>1.53</v>
      </c>
      <c r="P367">
        <v>0.0</v>
      </c>
      <c r="Q367">
        <v>10.0</v>
      </c>
      <c r="R367"/>
      <c r="S367"/>
      <c r="T367"/>
      <c r="U367"/>
      <c r="V367"/>
      <c r="W367">
        <v>18</v>
      </c>
    </row>
    <row r="368" spans="1:23">
      <c r="A368"/>
      <c r="B368" t="s">
        <v>82</v>
      </c>
      <c r="C368" t="s">
        <v>82</v>
      </c>
      <c r="D368" t="s">
        <v>33</v>
      </c>
      <c r="E368" t="s">
        <v>34</v>
      </c>
      <c r="F368" t="str">
        <f>"0016924"</f>
        <v>0016924</v>
      </c>
      <c r="G368">
        <v>1</v>
      </c>
      <c r="H368" t="str">
        <f>"00000001"</f>
        <v>00000001</v>
      </c>
      <c r="I368" t="s">
        <v>35</v>
      </c>
      <c r="J368"/>
      <c r="K368">
        <v>10.17</v>
      </c>
      <c r="L368">
        <v>0.0</v>
      </c>
      <c r="M368"/>
      <c r="N368"/>
      <c r="O368">
        <v>1.83</v>
      </c>
      <c r="P368">
        <v>0.0</v>
      </c>
      <c r="Q368">
        <v>12.0</v>
      </c>
      <c r="R368"/>
      <c r="S368"/>
      <c r="T368"/>
      <c r="U368"/>
      <c r="V368"/>
      <c r="W368">
        <v>18</v>
      </c>
    </row>
    <row r="369" spans="1:23">
      <c r="A369"/>
      <c r="B369" t="s">
        <v>82</v>
      </c>
      <c r="C369" t="s">
        <v>82</v>
      </c>
      <c r="D369" t="s">
        <v>33</v>
      </c>
      <c r="E369" t="s">
        <v>34</v>
      </c>
      <c r="F369" t="str">
        <f>"0016925"</f>
        <v>0016925</v>
      </c>
      <c r="G369">
        <v>1</v>
      </c>
      <c r="H369" t="str">
        <f>"00000001"</f>
        <v>00000001</v>
      </c>
      <c r="I369" t="s">
        <v>35</v>
      </c>
      <c r="J369"/>
      <c r="K369">
        <v>5.08</v>
      </c>
      <c r="L369">
        <v>0.0</v>
      </c>
      <c r="M369"/>
      <c r="N369"/>
      <c r="O369">
        <v>0.92</v>
      </c>
      <c r="P369">
        <v>0.0</v>
      </c>
      <c r="Q369">
        <v>6.0</v>
      </c>
      <c r="R369"/>
      <c r="S369"/>
      <c r="T369"/>
      <c r="U369"/>
      <c r="V369"/>
      <c r="W369">
        <v>18</v>
      </c>
    </row>
    <row r="370" spans="1:23">
      <c r="A370"/>
      <c r="B370" t="s">
        <v>82</v>
      </c>
      <c r="C370" t="s">
        <v>82</v>
      </c>
      <c r="D370" t="s">
        <v>33</v>
      </c>
      <c r="E370" t="s">
        <v>34</v>
      </c>
      <c r="F370" t="str">
        <f>"0016926"</f>
        <v>0016926</v>
      </c>
      <c r="G370">
        <v>1</v>
      </c>
      <c r="H370" t="str">
        <f>"00000001"</f>
        <v>00000001</v>
      </c>
      <c r="I370" t="s">
        <v>35</v>
      </c>
      <c r="J370"/>
      <c r="K370">
        <v>1.69</v>
      </c>
      <c r="L370">
        <v>0.0</v>
      </c>
      <c r="M370"/>
      <c r="N370"/>
      <c r="O370">
        <v>0.31</v>
      </c>
      <c r="P370">
        <v>0.0</v>
      </c>
      <c r="Q370">
        <v>2.0</v>
      </c>
      <c r="R370"/>
      <c r="S370"/>
      <c r="T370"/>
      <c r="U370"/>
      <c r="V370"/>
      <c r="W370">
        <v>18</v>
      </c>
    </row>
    <row r="371" spans="1:23">
      <c r="A371"/>
      <c r="B371" t="s">
        <v>82</v>
      </c>
      <c r="C371" t="s">
        <v>82</v>
      </c>
      <c r="D371" t="s">
        <v>33</v>
      </c>
      <c r="E371" t="s">
        <v>34</v>
      </c>
      <c r="F371" t="str">
        <f>"0016927"</f>
        <v>0016927</v>
      </c>
      <c r="G371">
        <v>1</v>
      </c>
      <c r="H371" t="str">
        <f>"00000001"</f>
        <v>00000001</v>
      </c>
      <c r="I371" t="s">
        <v>35</v>
      </c>
      <c r="J371"/>
      <c r="K371">
        <v>11.86</v>
      </c>
      <c r="L371">
        <v>0.0</v>
      </c>
      <c r="M371"/>
      <c r="N371"/>
      <c r="O371">
        <v>2.14</v>
      </c>
      <c r="P371">
        <v>0.0</v>
      </c>
      <c r="Q371">
        <v>14.0</v>
      </c>
      <c r="R371"/>
      <c r="S371"/>
      <c r="T371"/>
      <c r="U371"/>
      <c r="V371"/>
      <c r="W371">
        <v>18</v>
      </c>
    </row>
    <row r="372" spans="1:23">
      <c r="A372"/>
      <c r="B372" t="s">
        <v>82</v>
      </c>
      <c r="C372" t="s">
        <v>82</v>
      </c>
      <c r="D372" t="s">
        <v>33</v>
      </c>
      <c r="E372" t="s">
        <v>34</v>
      </c>
      <c r="F372" t="str">
        <f>"0016928"</f>
        <v>0016928</v>
      </c>
      <c r="G372">
        <v>6</v>
      </c>
      <c r="H372" t="str">
        <f>"20608473174"</f>
        <v>20608473174</v>
      </c>
      <c r="I372" t="s">
        <v>59</v>
      </c>
      <c r="J372"/>
      <c r="K372">
        <v>42.37</v>
      </c>
      <c r="L372">
        <v>0.0</v>
      </c>
      <c r="M372"/>
      <c r="N372"/>
      <c r="O372">
        <v>7.63</v>
      </c>
      <c r="P372">
        <v>0.0</v>
      </c>
      <c r="Q372">
        <v>50.0</v>
      </c>
      <c r="R372"/>
      <c r="S372"/>
      <c r="T372"/>
      <c r="U372"/>
      <c r="V372"/>
      <c r="W372">
        <v>18</v>
      </c>
    </row>
    <row r="373" spans="1:23">
      <c r="A373"/>
      <c r="B373" t="s">
        <v>82</v>
      </c>
      <c r="C373" t="s">
        <v>82</v>
      </c>
      <c r="D373" t="s">
        <v>33</v>
      </c>
      <c r="E373" t="s">
        <v>34</v>
      </c>
      <c r="F373" t="str">
        <f>"0016929"</f>
        <v>0016929</v>
      </c>
      <c r="G373">
        <v>1</v>
      </c>
      <c r="H373" t="str">
        <f>"00000001"</f>
        <v>00000001</v>
      </c>
      <c r="I373" t="s">
        <v>35</v>
      </c>
      <c r="J373"/>
      <c r="K373">
        <v>45.76</v>
      </c>
      <c r="L373">
        <v>0.0</v>
      </c>
      <c r="M373"/>
      <c r="N373"/>
      <c r="O373">
        <v>8.24</v>
      </c>
      <c r="P373">
        <v>0.0</v>
      </c>
      <c r="Q373">
        <v>54.0</v>
      </c>
      <c r="R373"/>
      <c r="S373"/>
      <c r="T373"/>
      <c r="U373"/>
      <c r="V373"/>
      <c r="W373">
        <v>18</v>
      </c>
    </row>
    <row r="374" spans="1:23">
      <c r="A374"/>
      <c r="B374" t="s">
        <v>82</v>
      </c>
      <c r="C374" t="s">
        <v>82</v>
      </c>
      <c r="D374" t="s">
        <v>33</v>
      </c>
      <c r="E374" t="s">
        <v>34</v>
      </c>
      <c r="F374" t="str">
        <f>"0016930"</f>
        <v>0016930</v>
      </c>
      <c r="G374">
        <v>1</v>
      </c>
      <c r="H374" t="str">
        <f>"00000001"</f>
        <v>00000001</v>
      </c>
      <c r="I374" t="s">
        <v>35</v>
      </c>
      <c r="J374"/>
      <c r="K374">
        <v>28.81</v>
      </c>
      <c r="L374">
        <v>0.0</v>
      </c>
      <c r="M374"/>
      <c r="N374"/>
      <c r="O374">
        <v>5.19</v>
      </c>
      <c r="P374">
        <v>0.0</v>
      </c>
      <c r="Q374">
        <v>34.0</v>
      </c>
      <c r="R374"/>
      <c r="S374"/>
      <c r="T374"/>
      <c r="U374"/>
      <c r="V374"/>
      <c r="W374">
        <v>18</v>
      </c>
    </row>
    <row r="375" spans="1:23">
      <c r="A375"/>
      <c r="B375" t="s">
        <v>82</v>
      </c>
      <c r="C375" t="s">
        <v>82</v>
      </c>
      <c r="D375" t="s">
        <v>33</v>
      </c>
      <c r="E375" t="s">
        <v>34</v>
      </c>
      <c r="F375" t="str">
        <f>"0016931"</f>
        <v>0016931</v>
      </c>
      <c r="G375">
        <v>1</v>
      </c>
      <c r="H375" t="str">
        <f>"00000001"</f>
        <v>00000001</v>
      </c>
      <c r="I375" t="s">
        <v>35</v>
      </c>
      <c r="J375"/>
      <c r="K375">
        <v>27.12</v>
      </c>
      <c r="L375">
        <v>0.0</v>
      </c>
      <c r="M375"/>
      <c r="N375"/>
      <c r="O375">
        <v>4.88</v>
      </c>
      <c r="P375">
        <v>0.0</v>
      </c>
      <c r="Q375">
        <v>32.0</v>
      </c>
      <c r="R375"/>
      <c r="S375"/>
      <c r="T375"/>
      <c r="U375"/>
      <c r="V375"/>
      <c r="W375">
        <v>18</v>
      </c>
    </row>
    <row r="376" spans="1:23">
      <c r="A376"/>
      <c r="B376" t="s">
        <v>82</v>
      </c>
      <c r="C376" t="s">
        <v>82</v>
      </c>
      <c r="D376" t="s">
        <v>33</v>
      </c>
      <c r="E376" t="s">
        <v>34</v>
      </c>
      <c r="F376" t="str">
        <f>"0016932"</f>
        <v>0016932</v>
      </c>
      <c r="G376">
        <v>1</v>
      </c>
      <c r="H376" t="str">
        <f>"00000001"</f>
        <v>00000001</v>
      </c>
      <c r="I376" t="s">
        <v>35</v>
      </c>
      <c r="J376"/>
      <c r="K376">
        <v>22.92</v>
      </c>
      <c r="L376">
        <v>0.0</v>
      </c>
      <c r="M376"/>
      <c r="N376"/>
      <c r="O376">
        <v>4.12</v>
      </c>
      <c r="P376">
        <v>0.0</v>
      </c>
      <c r="Q376">
        <v>27.04</v>
      </c>
      <c r="R376"/>
      <c r="S376"/>
      <c r="T376"/>
      <c r="U376"/>
      <c r="V376"/>
      <c r="W376">
        <v>18</v>
      </c>
    </row>
    <row r="377" spans="1:23">
      <c r="A377"/>
      <c r="B377" t="s">
        <v>82</v>
      </c>
      <c r="C377" t="s">
        <v>82</v>
      </c>
      <c r="D377" t="s">
        <v>33</v>
      </c>
      <c r="E377" t="s">
        <v>34</v>
      </c>
      <c r="F377" t="str">
        <f>"0016933"</f>
        <v>0016933</v>
      </c>
      <c r="G377">
        <v>1</v>
      </c>
      <c r="H377" t="str">
        <f>"00000001"</f>
        <v>00000001</v>
      </c>
      <c r="I377" t="s">
        <v>35</v>
      </c>
      <c r="J377"/>
      <c r="K377">
        <v>53.39</v>
      </c>
      <c r="L377">
        <v>0.0</v>
      </c>
      <c r="M377"/>
      <c r="N377"/>
      <c r="O377">
        <v>9.61</v>
      </c>
      <c r="P377">
        <v>0.0</v>
      </c>
      <c r="Q377">
        <v>63.0</v>
      </c>
      <c r="R377"/>
      <c r="S377"/>
      <c r="T377"/>
      <c r="U377"/>
      <c r="V377"/>
      <c r="W377">
        <v>18</v>
      </c>
    </row>
    <row r="378" spans="1:23">
      <c r="A378"/>
      <c r="B378" t="s">
        <v>82</v>
      </c>
      <c r="C378" t="s">
        <v>82</v>
      </c>
      <c r="D378" t="s">
        <v>33</v>
      </c>
      <c r="E378" t="s">
        <v>34</v>
      </c>
      <c r="F378" t="str">
        <f>"0016934"</f>
        <v>0016934</v>
      </c>
      <c r="G378">
        <v>1</v>
      </c>
      <c r="H378" t="str">
        <f>"00000001"</f>
        <v>00000001</v>
      </c>
      <c r="I378" t="s">
        <v>35</v>
      </c>
      <c r="J378"/>
      <c r="K378">
        <v>26.69</v>
      </c>
      <c r="L378">
        <v>0.0</v>
      </c>
      <c r="M378"/>
      <c r="N378"/>
      <c r="O378">
        <v>4.81</v>
      </c>
      <c r="P378">
        <v>0.0</v>
      </c>
      <c r="Q378">
        <v>31.5</v>
      </c>
      <c r="R378"/>
      <c r="S378"/>
      <c r="T378"/>
      <c r="U378"/>
      <c r="V378"/>
      <c r="W378">
        <v>18</v>
      </c>
    </row>
    <row r="379" spans="1:23">
      <c r="A379"/>
      <c r="B379" t="s">
        <v>82</v>
      </c>
      <c r="C379" t="s">
        <v>82</v>
      </c>
      <c r="D379" t="s">
        <v>33</v>
      </c>
      <c r="E379" t="s">
        <v>34</v>
      </c>
      <c r="F379" t="str">
        <f>"0016935"</f>
        <v>0016935</v>
      </c>
      <c r="G379">
        <v>1</v>
      </c>
      <c r="H379" t="str">
        <f>"00000001"</f>
        <v>00000001</v>
      </c>
      <c r="I379" t="s">
        <v>35</v>
      </c>
      <c r="J379"/>
      <c r="K379">
        <v>33.05</v>
      </c>
      <c r="L379">
        <v>0.0</v>
      </c>
      <c r="M379"/>
      <c r="N379"/>
      <c r="O379">
        <v>5.95</v>
      </c>
      <c r="P379">
        <v>0.0</v>
      </c>
      <c r="Q379">
        <v>39.0</v>
      </c>
      <c r="R379"/>
      <c r="S379"/>
      <c r="T379"/>
      <c r="U379"/>
      <c r="V379"/>
      <c r="W379">
        <v>18</v>
      </c>
    </row>
    <row r="380" spans="1:23">
      <c r="A380"/>
      <c r="B380" t="s">
        <v>82</v>
      </c>
      <c r="C380" t="s">
        <v>82</v>
      </c>
      <c r="D380" t="s">
        <v>33</v>
      </c>
      <c r="E380" t="s">
        <v>34</v>
      </c>
      <c r="F380" t="str">
        <f>"0016936"</f>
        <v>0016936</v>
      </c>
      <c r="G380">
        <v>1</v>
      </c>
      <c r="H380" t="str">
        <f>"00000001"</f>
        <v>00000001</v>
      </c>
      <c r="I380" t="s">
        <v>35</v>
      </c>
      <c r="J380"/>
      <c r="K380">
        <v>33.9</v>
      </c>
      <c r="L380">
        <v>0.0</v>
      </c>
      <c r="M380"/>
      <c r="N380"/>
      <c r="O380">
        <v>6.1</v>
      </c>
      <c r="P380">
        <v>0.0</v>
      </c>
      <c r="Q380">
        <v>40.0</v>
      </c>
      <c r="R380"/>
      <c r="S380"/>
      <c r="T380"/>
      <c r="U380"/>
      <c r="V380"/>
      <c r="W380">
        <v>18</v>
      </c>
    </row>
    <row r="381" spans="1:23">
      <c r="A381"/>
      <c r="B381" t="s">
        <v>82</v>
      </c>
      <c r="C381" t="s">
        <v>82</v>
      </c>
      <c r="D381" t="s">
        <v>33</v>
      </c>
      <c r="E381" t="s">
        <v>34</v>
      </c>
      <c r="F381" t="str">
        <f>"0016937"</f>
        <v>0016937</v>
      </c>
      <c r="G381">
        <v>1</v>
      </c>
      <c r="H381" t="str">
        <f>"00000001"</f>
        <v>00000001</v>
      </c>
      <c r="I381" t="s">
        <v>35</v>
      </c>
      <c r="J381"/>
      <c r="K381">
        <v>9.32</v>
      </c>
      <c r="L381">
        <v>0.0</v>
      </c>
      <c r="M381"/>
      <c r="N381"/>
      <c r="O381">
        <v>1.68</v>
      </c>
      <c r="P381">
        <v>0.0</v>
      </c>
      <c r="Q381">
        <v>11.0</v>
      </c>
      <c r="R381"/>
      <c r="S381"/>
      <c r="T381"/>
      <c r="U381"/>
      <c r="V381"/>
      <c r="W381">
        <v>18</v>
      </c>
    </row>
    <row r="382" spans="1:23">
      <c r="A382"/>
      <c r="B382" t="s">
        <v>82</v>
      </c>
      <c r="C382" t="s">
        <v>82</v>
      </c>
      <c r="D382" t="s">
        <v>33</v>
      </c>
      <c r="E382" t="s">
        <v>34</v>
      </c>
      <c r="F382" t="str">
        <f>"0016938"</f>
        <v>0016938</v>
      </c>
      <c r="G382">
        <v>6</v>
      </c>
      <c r="H382" t="str">
        <f>"20613583107"</f>
        <v>20613583107</v>
      </c>
      <c r="I382" t="s">
        <v>74</v>
      </c>
      <c r="J382"/>
      <c r="K382">
        <v>42.37</v>
      </c>
      <c r="L382">
        <v>0.0</v>
      </c>
      <c r="M382"/>
      <c r="N382"/>
      <c r="O382">
        <v>7.63</v>
      </c>
      <c r="P382">
        <v>0.0</v>
      </c>
      <c r="Q382">
        <v>50.0</v>
      </c>
      <c r="R382"/>
      <c r="S382"/>
      <c r="T382"/>
      <c r="U382"/>
      <c r="V382"/>
      <c r="W382">
        <v>18</v>
      </c>
    </row>
    <row r="383" spans="1:23">
      <c r="A383"/>
      <c r="B383" t="s">
        <v>82</v>
      </c>
      <c r="C383" t="s">
        <v>82</v>
      </c>
      <c r="D383" t="s">
        <v>33</v>
      </c>
      <c r="E383" t="s">
        <v>34</v>
      </c>
      <c r="F383" t="str">
        <f>"0016939"</f>
        <v>0016939</v>
      </c>
      <c r="G383">
        <v>1</v>
      </c>
      <c r="H383" t="str">
        <f>"00000001"</f>
        <v>00000001</v>
      </c>
      <c r="I383" t="s">
        <v>35</v>
      </c>
      <c r="J383"/>
      <c r="K383">
        <v>20.34</v>
      </c>
      <c r="L383">
        <v>0.0</v>
      </c>
      <c r="M383"/>
      <c r="N383"/>
      <c r="O383">
        <v>3.66</v>
      </c>
      <c r="P383">
        <v>0.0</v>
      </c>
      <c r="Q383">
        <v>24.0</v>
      </c>
      <c r="R383"/>
      <c r="S383"/>
      <c r="T383"/>
      <c r="U383"/>
      <c r="V383"/>
      <c r="W383">
        <v>18</v>
      </c>
    </row>
    <row r="384" spans="1:23">
      <c r="A384"/>
      <c r="B384" t="s">
        <v>82</v>
      </c>
      <c r="C384" t="s">
        <v>82</v>
      </c>
      <c r="D384" t="s">
        <v>33</v>
      </c>
      <c r="E384" t="s">
        <v>34</v>
      </c>
      <c r="F384" t="str">
        <f>"0016940"</f>
        <v>0016940</v>
      </c>
      <c r="G384">
        <v>1</v>
      </c>
      <c r="H384" t="str">
        <f>"00000001"</f>
        <v>00000001</v>
      </c>
      <c r="I384" t="s">
        <v>35</v>
      </c>
      <c r="J384"/>
      <c r="K384">
        <v>8.47</v>
      </c>
      <c r="L384">
        <v>0.0</v>
      </c>
      <c r="M384"/>
      <c r="N384"/>
      <c r="O384">
        <v>1.53</v>
      </c>
      <c r="P384">
        <v>0.0</v>
      </c>
      <c r="Q384">
        <v>10.0</v>
      </c>
      <c r="R384"/>
      <c r="S384"/>
      <c r="T384"/>
      <c r="U384"/>
      <c r="V384"/>
      <c r="W384">
        <v>18</v>
      </c>
    </row>
    <row r="385" spans="1:23">
      <c r="A385"/>
      <c r="B385" t="s">
        <v>82</v>
      </c>
      <c r="C385" t="s">
        <v>82</v>
      </c>
      <c r="D385" t="s">
        <v>33</v>
      </c>
      <c r="E385" t="s">
        <v>34</v>
      </c>
      <c r="F385" t="str">
        <f>"0016941"</f>
        <v>0016941</v>
      </c>
      <c r="G385">
        <v>1</v>
      </c>
      <c r="H385" t="str">
        <f>"00000001"</f>
        <v>00000001</v>
      </c>
      <c r="I385" t="s">
        <v>35</v>
      </c>
      <c r="J385"/>
      <c r="K385">
        <v>2.54</v>
      </c>
      <c r="L385">
        <v>0.0</v>
      </c>
      <c r="M385"/>
      <c r="N385"/>
      <c r="O385">
        <v>0.46</v>
      </c>
      <c r="P385">
        <v>0.0</v>
      </c>
      <c r="Q385">
        <v>3.0</v>
      </c>
      <c r="R385"/>
      <c r="S385"/>
      <c r="T385"/>
      <c r="U385"/>
      <c r="V385"/>
      <c r="W385">
        <v>18</v>
      </c>
    </row>
    <row r="386" spans="1:23">
      <c r="A386"/>
      <c r="B386" t="s">
        <v>82</v>
      </c>
      <c r="C386" t="s">
        <v>82</v>
      </c>
      <c r="D386" t="s">
        <v>33</v>
      </c>
      <c r="E386" t="s">
        <v>34</v>
      </c>
      <c r="F386" t="str">
        <f>"0016942"</f>
        <v>0016942</v>
      </c>
      <c r="G386">
        <v>6</v>
      </c>
      <c r="H386" t="str">
        <f>"20608473174"</f>
        <v>20608473174</v>
      </c>
      <c r="I386" t="s">
        <v>59</v>
      </c>
      <c r="J386"/>
      <c r="K386">
        <v>42.37</v>
      </c>
      <c r="L386">
        <v>0.0</v>
      </c>
      <c r="M386"/>
      <c r="N386"/>
      <c r="O386">
        <v>7.63</v>
      </c>
      <c r="P386">
        <v>0.0</v>
      </c>
      <c r="Q386">
        <v>50.0</v>
      </c>
      <c r="R386"/>
      <c r="S386"/>
      <c r="T386"/>
      <c r="U386"/>
      <c r="V386"/>
      <c r="W386">
        <v>18</v>
      </c>
    </row>
    <row r="387" spans="1:23">
      <c r="A387"/>
      <c r="B387" t="s">
        <v>82</v>
      </c>
      <c r="C387" t="s">
        <v>82</v>
      </c>
      <c r="D387" t="s">
        <v>33</v>
      </c>
      <c r="E387" t="s">
        <v>34</v>
      </c>
      <c r="F387" t="str">
        <f>"0016943"</f>
        <v>0016943</v>
      </c>
      <c r="G387">
        <v>6</v>
      </c>
      <c r="H387" t="str">
        <f>"20608473174"</f>
        <v>20608473174</v>
      </c>
      <c r="I387" t="s">
        <v>59</v>
      </c>
      <c r="J387"/>
      <c r="K387">
        <v>20.34</v>
      </c>
      <c r="L387">
        <v>0.0</v>
      </c>
      <c r="M387"/>
      <c r="N387"/>
      <c r="O387">
        <v>3.66</v>
      </c>
      <c r="P387">
        <v>0.0</v>
      </c>
      <c r="Q387">
        <v>24.0</v>
      </c>
      <c r="R387"/>
      <c r="S387"/>
      <c r="T387"/>
      <c r="U387"/>
      <c r="V387"/>
      <c r="W387">
        <v>18</v>
      </c>
    </row>
    <row r="388" spans="1:23">
      <c r="A388"/>
      <c r="B388" t="s">
        <v>82</v>
      </c>
      <c r="C388" t="s">
        <v>82</v>
      </c>
      <c r="D388" t="s">
        <v>36</v>
      </c>
      <c r="E388" t="s">
        <v>37</v>
      </c>
      <c r="F388" t="str">
        <f>"0001367"</f>
        <v>0001367</v>
      </c>
      <c r="G388">
        <v>6</v>
      </c>
      <c r="H388" t="str">
        <f>"20612701548"</f>
        <v>20612701548</v>
      </c>
      <c r="I388" t="s">
        <v>75</v>
      </c>
      <c r="J388"/>
      <c r="K388">
        <v>33.9</v>
      </c>
      <c r="L388">
        <v>0.0</v>
      </c>
      <c r="M388"/>
      <c r="N388"/>
      <c r="O388">
        <v>6.1</v>
      </c>
      <c r="P388">
        <v>0.0</v>
      </c>
      <c r="Q388">
        <v>40.0</v>
      </c>
      <c r="R388"/>
      <c r="S388"/>
      <c r="T388"/>
      <c r="U388"/>
      <c r="V388"/>
      <c r="W388">
        <v>18</v>
      </c>
    </row>
    <row r="389" spans="1:23">
      <c r="A389"/>
      <c r="B389" t="s">
        <v>82</v>
      </c>
      <c r="C389" t="s">
        <v>82</v>
      </c>
      <c r="D389" t="s">
        <v>33</v>
      </c>
      <c r="E389" t="s">
        <v>34</v>
      </c>
      <c r="F389" t="str">
        <f>"0016944"</f>
        <v>0016944</v>
      </c>
      <c r="G389">
        <v>6</v>
      </c>
      <c r="H389" t="str">
        <f>"20612701548"</f>
        <v>20612701548</v>
      </c>
      <c r="I389" t="s">
        <v>75</v>
      </c>
      <c r="J389"/>
      <c r="K389">
        <v>42.37</v>
      </c>
      <c r="L389">
        <v>0.0</v>
      </c>
      <c r="M389"/>
      <c r="N389"/>
      <c r="O389">
        <v>7.63</v>
      </c>
      <c r="P389">
        <v>0.0</v>
      </c>
      <c r="Q389">
        <v>50.0</v>
      </c>
      <c r="R389"/>
      <c r="S389"/>
      <c r="T389"/>
      <c r="U389"/>
      <c r="V389"/>
      <c r="W389">
        <v>18</v>
      </c>
    </row>
    <row r="390" spans="1:23">
      <c r="A390"/>
      <c r="B390" t="s">
        <v>82</v>
      </c>
      <c r="C390" t="s">
        <v>82</v>
      </c>
      <c r="D390" t="s">
        <v>33</v>
      </c>
      <c r="E390" t="s">
        <v>34</v>
      </c>
      <c r="F390" t="str">
        <f>"0016945"</f>
        <v>0016945</v>
      </c>
      <c r="G390">
        <v>1</v>
      </c>
      <c r="H390" t="str">
        <f>"00000001"</f>
        <v>00000001</v>
      </c>
      <c r="I390" t="s">
        <v>35</v>
      </c>
      <c r="J390"/>
      <c r="K390">
        <v>35.59</v>
      </c>
      <c r="L390">
        <v>0.0</v>
      </c>
      <c r="M390"/>
      <c r="N390"/>
      <c r="O390">
        <v>6.41</v>
      </c>
      <c r="P390">
        <v>0.0</v>
      </c>
      <c r="Q390">
        <v>42.0</v>
      </c>
      <c r="R390"/>
      <c r="S390"/>
      <c r="T390"/>
      <c r="U390"/>
      <c r="V390"/>
      <c r="W390">
        <v>18</v>
      </c>
    </row>
    <row r="391" spans="1:23">
      <c r="A391"/>
      <c r="B391" t="s">
        <v>82</v>
      </c>
      <c r="C391" t="s">
        <v>82</v>
      </c>
      <c r="D391" t="s">
        <v>33</v>
      </c>
      <c r="E391" t="s">
        <v>34</v>
      </c>
      <c r="F391" t="str">
        <f>"0016946"</f>
        <v>0016946</v>
      </c>
      <c r="G391">
        <v>6</v>
      </c>
      <c r="H391" t="str">
        <f>"20608473174"</f>
        <v>20608473174</v>
      </c>
      <c r="I391" t="s">
        <v>59</v>
      </c>
      <c r="J391"/>
      <c r="K391">
        <v>42.37</v>
      </c>
      <c r="L391">
        <v>0.0</v>
      </c>
      <c r="M391"/>
      <c r="N391"/>
      <c r="O391">
        <v>7.63</v>
      </c>
      <c r="P391">
        <v>0.0</v>
      </c>
      <c r="Q391">
        <v>50.0</v>
      </c>
      <c r="R391"/>
      <c r="S391"/>
      <c r="T391"/>
      <c r="U391"/>
      <c r="V391"/>
      <c r="W391">
        <v>18</v>
      </c>
    </row>
    <row r="392" spans="1:23">
      <c r="A392"/>
      <c r="B392" t="s">
        <v>82</v>
      </c>
      <c r="C392" t="s">
        <v>82</v>
      </c>
      <c r="D392" t="s">
        <v>33</v>
      </c>
      <c r="E392" t="s">
        <v>34</v>
      </c>
      <c r="F392" t="str">
        <f>"0016947"</f>
        <v>0016947</v>
      </c>
      <c r="G392">
        <v>1</v>
      </c>
      <c r="H392" t="str">
        <f>"00000001"</f>
        <v>00000001</v>
      </c>
      <c r="I392" t="s">
        <v>35</v>
      </c>
      <c r="J392"/>
      <c r="K392">
        <v>12.71</v>
      </c>
      <c r="L392">
        <v>0.0</v>
      </c>
      <c r="M392"/>
      <c r="N392"/>
      <c r="O392">
        <v>2.29</v>
      </c>
      <c r="P392">
        <v>0.0</v>
      </c>
      <c r="Q392">
        <v>15.0</v>
      </c>
      <c r="R392"/>
      <c r="S392"/>
      <c r="T392"/>
      <c r="U392"/>
      <c r="V392"/>
      <c r="W392">
        <v>18</v>
      </c>
    </row>
    <row r="393" spans="1:23">
      <c r="A393"/>
      <c r="B393" t="s">
        <v>82</v>
      </c>
      <c r="C393" t="s">
        <v>82</v>
      </c>
      <c r="D393" t="s">
        <v>33</v>
      </c>
      <c r="E393" t="s">
        <v>34</v>
      </c>
      <c r="F393" t="str">
        <f>"0016948"</f>
        <v>0016948</v>
      </c>
      <c r="G393">
        <v>6</v>
      </c>
      <c r="H393" t="str">
        <f>"20608473174"</f>
        <v>20608473174</v>
      </c>
      <c r="I393" t="s">
        <v>59</v>
      </c>
      <c r="J393"/>
      <c r="K393">
        <v>42.37</v>
      </c>
      <c r="L393">
        <v>0.0</v>
      </c>
      <c r="M393"/>
      <c r="N393"/>
      <c r="O393">
        <v>7.63</v>
      </c>
      <c r="P393">
        <v>0.0</v>
      </c>
      <c r="Q393">
        <v>50.0</v>
      </c>
      <c r="R393"/>
      <c r="S393"/>
      <c r="T393"/>
      <c r="U393"/>
      <c r="V393"/>
      <c r="W393">
        <v>18</v>
      </c>
    </row>
    <row r="394" spans="1:23">
      <c r="A394"/>
      <c r="B394" t="s">
        <v>82</v>
      </c>
      <c r="C394" t="s">
        <v>82</v>
      </c>
      <c r="D394" t="s">
        <v>33</v>
      </c>
      <c r="E394" t="s">
        <v>34</v>
      </c>
      <c r="F394" t="str">
        <f>"0016949"</f>
        <v>0016949</v>
      </c>
      <c r="G394">
        <v>6</v>
      </c>
      <c r="H394" t="str">
        <f>"20610600787"</f>
        <v>20610600787</v>
      </c>
      <c r="I394" t="s">
        <v>55</v>
      </c>
      <c r="J394"/>
      <c r="K394">
        <v>42.37</v>
      </c>
      <c r="L394">
        <v>0.0</v>
      </c>
      <c r="M394"/>
      <c r="N394"/>
      <c r="O394">
        <v>7.63</v>
      </c>
      <c r="P394">
        <v>0.0</v>
      </c>
      <c r="Q394">
        <v>50.0</v>
      </c>
      <c r="R394"/>
      <c r="S394"/>
      <c r="T394"/>
      <c r="U394"/>
      <c r="V394"/>
      <c r="W394">
        <v>18</v>
      </c>
    </row>
    <row r="395" spans="1:23">
      <c r="A395"/>
      <c r="B395" t="s">
        <v>82</v>
      </c>
      <c r="C395" t="s">
        <v>82</v>
      </c>
      <c r="D395" t="s">
        <v>33</v>
      </c>
      <c r="E395" t="s">
        <v>34</v>
      </c>
      <c r="F395" t="str">
        <f>"0016950"</f>
        <v>0016950</v>
      </c>
      <c r="G395">
        <v>6</v>
      </c>
      <c r="H395" t="str">
        <f>"20610600787"</f>
        <v>20610600787</v>
      </c>
      <c r="I395" t="s">
        <v>55</v>
      </c>
      <c r="J395"/>
      <c r="K395">
        <v>42.37</v>
      </c>
      <c r="L395">
        <v>0.0</v>
      </c>
      <c r="M395"/>
      <c r="N395"/>
      <c r="O395">
        <v>7.63</v>
      </c>
      <c r="P395">
        <v>0.0</v>
      </c>
      <c r="Q395">
        <v>50.0</v>
      </c>
      <c r="R395"/>
      <c r="S395"/>
      <c r="T395"/>
      <c r="U395"/>
      <c r="V395"/>
      <c r="W395">
        <v>18</v>
      </c>
    </row>
    <row r="396" spans="1:23">
      <c r="A396"/>
      <c r="B396" t="s">
        <v>82</v>
      </c>
      <c r="C396" t="s">
        <v>82</v>
      </c>
      <c r="D396" t="s">
        <v>33</v>
      </c>
      <c r="E396" t="s">
        <v>34</v>
      </c>
      <c r="F396" t="str">
        <f>"0016951"</f>
        <v>0016951</v>
      </c>
      <c r="G396">
        <v>6</v>
      </c>
      <c r="H396" t="str">
        <f>"20610600787"</f>
        <v>20610600787</v>
      </c>
      <c r="I396" t="s">
        <v>55</v>
      </c>
      <c r="J396"/>
      <c r="K396">
        <v>42.37</v>
      </c>
      <c r="L396">
        <v>0.0</v>
      </c>
      <c r="M396"/>
      <c r="N396"/>
      <c r="O396">
        <v>7.63</v>
      </c>
      <c r="P396">
        <v>0.0</v>
      </c>
      <c r="Q396">
        <v>50.0</v>
      </c>
      <c r="R396"/>
      <c r="S396"/>
      <c r="T396"/>
      <c r="U396"/>
      <c r="V396"/>
      <c r="W396">
        <v>18</v>
      </c>
    </row>
    <row r="397" spans="1:23">
      <c r="A397"/>
      <c r="B397" t="s">
        <v>82</v>
      </c>
      <c r="C397" t="s">
        <v>82</v>
      </c>
      <c r="D397" t="s">
        <v>33</v>
      </c>
      <c r="E397" t="s">
        <v>34</v>
      </c>
      <c r="F397" t="str">
        <f>"0016952"</f>
        <v>0016952</v>
      </c>
      <c r="G397">
        <v>6</v>
      </c>
      <c r="H397" t="str">
        <f>"20610600787"</f>
        <v>20610600787</v>
      </c>
      <c r="I397" t="s">
        <v>55</v>
      </c>
      <c r="J397"/>
      <c r="K397">
        <v>42.37</v>
      </c>
      <c r="L397">
        <v>0.0</v>
      </c>
      <c r="M397"/>
      <c r="N397"/>
      <c r="O397">
        <v>7.63</v>
      </c>
      <c r="P397">
        <v>0.0</v>
      </c>
      <c r="Q397">
        <v>50.0</v>
      </c>
      <c r="R397"/>
      <c r="S397"/>
      <c r="T397"/>
      <c r="U397"/>
      <c r="V397"/>
      <c r="W397">
        <v>18</v>
      </c>
    </row>
    <row r="398" spans="1:23">
      <c r="A398"/>
      <c r="B398" t="s">
        <v>82</v>
      </c>
      <c r="C398" t="s">
        <v>82</v>
      </c>
      <c r="D398" t="s">
        <v>33</v>
      </c>
      <c r="E398" t="s">
        <v>34</v>
      </c>
      <c r="F398" t="str">
        <f>"0016953"</f>
        <v>0016953</v>
      </c>
      <c r="G398">
        <v>6</v>
      </c>
      <c r="H398" t="str">
        <f>"20491573636"</f>
        <v>20491573636</v>
      </c>
      <c r="I398" t="s">
        <v>83</v>
      </c>
      <c r="J398"/>
      <c r="K398">
        <v>17.8</v>
      </c>
      <c r="L398">
        <v>0.0</v>
      </c>
      <c r="M398"/>
      <c r="N398"/>
      <c r="O398">
        <v>3.2</v>
      </c>
      <c r="P398">
        <v>0.0</v>
      </c>
      <c r="Q398">
        <v>21.0</v>
      </c>
      <c r="R398"/>
      <c r="S398"/>
      <c r="T398"/>
      <c r="U398"/>
      <c r="V398"/>
      <c r="W398">
        <v>18</v>
      </c>
    </row>
    <row r="399" spans="1:23">
      <c r="A399"/>
      <c r="B399" t="s">
        <v>82</v>
      </c>
      <c r="C399" t="s">
        <v>82</v>
      </c>
      <c r="D399" t="s">
        <v>33</v>
      </c>
      <c r="E399" t="s">
        <v>34</v>
      </c>
      <c r="F399" t="str">
        <f>"0016954"</f>
        <v>0016954</v>
      </c>
      <c r="G399">
        <v>1</v>
      </c>
      <c r="H399" t="str">
        <f>"00000001"</f>
        <v>00000001</v>
      </c>
      <c r="I399" t="s">
        <v>35</v>
      </c>
      <c r="J399"/>
      <c r="K399">
        <v>5.08</v>
      </c>
      <c r="L399">
        <v>0.0</v>
      </c>
      <c r="M399"/>
      <c r="N399"/>
      <c r="O399">
        <v>0.92</v>
      </c>
      <c r="P399">
        <v>0.0</v>
      </c>
      <c r="Q399">
        <v>6.0</v>
      </c>
      <c r="R399"/>
      <c r="S399"/>
      <c r="T399"/>
      <c r="U399"/>
      <c r="V399"/>
      <c r="W399">
        <v>18</v>
      </c>
    </row>
    <row r="400" spans="1:23">
      <c r="A400"/>
      <c r="B400" t="s">
        <v>84</v>
      </c>
      <c r="C400" t="s">
        <v>84</v>
      </c>
      <c r="D400" t="s">
        <v>33</v>
      </c>
      <c r="E400" t="s">
        <v>34</v>
      </c>
      <c r="F400" t="str">
        <f>"0016955"</f>
        <v>0016955</v>
      </c>
      <c r="G400">
        <v>1</v>
      </c>
      <c r="H400" t="str">
        <f>"00000001"</f>
        <v>00000001</v>
      </c>
      <c r="I400" t="s">
        <v>35</v>
      </c>
      <c r="J400"/>
      <c r="K400">
        <v>6.78</v>
      </c>
      <c r="L400">
        <v>0.0</v>
      </c>
      <c r="M400"/>
      <c r="N400"/>
      <c r="O400">
        <v>1.22</v>
      </c>
      <c r="P400">
        <v>0.0</v>
      </c>
      <c r="Q400">
        <v>8.0</v>
      </c>
      <c r="R400"/>
      <c r="S400"/>
      <c r="T400"/>
      <c r="U400"/>
      <c r="V400"/>
      <c r="W400">
        <v>18</v>
      </c>
    </row>
    <row r="401" spans="1:23">
      <c r="A401"/>
      <c r="B401" t="s">
        <v>84</v>
      </c>
      <c r="C401" t="s">
        <v>84</v>
      </c>
      <c r="D401" t="s">
        <v>33</v>
      </c>
      <c r="E401" t="s">
        <v>34</v>
      </c>
      <c r="F401" t="str">
        <f>"0016956"</f>
        <v>0016956</v>
      </c>
      <c r="G401">
        <v>1</v>
      </c>
      <c r="H401" t="str">
        <f>"00000001"</f>
        <v>00000001</v>
      </c>
      <c r="I401" t="s">
        <v>35</v>
      </c>
      <c r="J401"/>
      <c r="K401">
        <v>10.17</v>
      </c>
      <c r="L401">
        <v>0.0</v>
      </c>
      <c r="M401"/>
      <c r="N401"/>
      <c r="O401">
        <v>1.83</v>
      </c>
      <c r="P401">
        <v>0.0</v>
      </c>
      <c r="Q401">
        <v>12.0</v>
      </c>
      <c r="R401"/>
      <c r="S401"/>
      <c r="T401"/>
      <c r="U401"/>
      <c r="V401"/>
      <c r="W401">
        <v>18</v>
      </c>
    </row>
    <row r="402" spans="1:23">
      <c r="A402"/>
      <c r="B402" t="s">
        <v>84</v>
      </c>
      <c r="C402" t="s">
        <v>84</v>
      </c>
      <c r="D402" t="s">
        <v>33</v>
      </c>
      <c r="E402" t="s">
        <v>34</v>
      </c>
      <c r="F402" t="str">
        <f>"0016957"</f>
        <v>0016957</v>
      </c>
      <c r="G402">
        <v>1</v>
      </c>
      <c r="H402" t="str">
        <f>"00000001"</f>
        <v>00000001</v>
      </c>
      <c r="I402" t="s">
        <v>35</v>
      </c>
      <c r="J402"/>
      <c r="K402">
        <v>32.2</v>
      </c>
      <c r="L402">
        <v>0.0</v>
      </c>
      <c r="M402"/>
      <c r="N402"/>
      <c r="O402">
        <v>5.8</v>
      </c>
      <c r="P402">
        <v>0.0</v>
      </c>
      <c r="Q402">
        <v>38.0</v>
      </c>
      <c r="R402"/>
      <c r="S402"/>
      <c r="T402"/>
      <c r="U402"/>
      <c r="V402"/>
      <c r="W402">
        <v>18</v>
      </c>
    </row>
    <row r="403" spans="1:23">
      <c r="A403"/>
      <c r="B403" t="s">
        <v>84</v>
      </c>
      <c r="C403" t="s">
        <v>84</v>
      </c>
      <c r="D403" t="s">
        <v>36</v>
      </c>
      <c r="E403" t="s">
        <v>37</v>
      </c>
      <c r="F403" t="str">
        <f>"0001368"</f>
        <v>0001368</v>
      </c>
      <c r="G403">
        <v>6</v>
      </c>
      <c r="H403" t="str">
        <f>"10454679534"</f>
        <v>10454679534</v>
      </c>
      <c r="I403" t="s">
        <v>48</v>
      </c>
      <c r="J403"/>
      <c r="K403">
        <v>7.63</v>
      </c>
      <c r="L403">
        <v>0.0</v>
      </c>
      <c r="M403"/>
      <c r="N403"/>
      <c r="O403">
        <v>1.37</v>
      </c>
      <c r="P403">
        <v>0.0</v>
      </c>
      <c r="Q403">
        <v>9.0</v>
      </c>
      <c r="R403"/>
      <c r="S403"/>
      <c r="T403"/>
      <c r="U403"/>
      <c r="V403"/>
      <c r="W403">
        <v>18</v>
      </c>
    </row>
    <row r="404" spans="1:23">
      <c r="A404"/>
      <c r="B404" t="s">
        <v>84</v>
      </c>
      <c r="C404" t="s">
        <v>84</v>
      </c>
      <c r="D404" t="s">
        <v>36</v>
      </c>
      <c r="E404" t="s">
        <v>37</v>
      </c>
      <c r="F404" t="str">
        <f>"0001369"</f>
        <v>0001369</v>
      </c>
      <c r="G404">
        <v>6</v>
      </c>
      <c r="H404" t="str">
        <f>"20606259094"</f>
        <v>20606259094</v>
      </c>
      <c r="I404" t="s">
        <v>85</v>
      </c>
      <c r="J404"/>
      <c r="K404">
        <v>97.46</v>
      </c>
      <c r="L404">
        <v>0.0</v>
      </c>
      <c r="M404"/>
      <c r="N404"/>
      <c r="O404">
        <v>17.54</v>
      </c>
      <c r="P404">
        <v>0.0</v>
      </c>
      <c r="Q404">
        <v>115.0</v>
      </c>
      <c r="R404"/>
      <c r="S404"/>
      <c r="T404"/>
      <c r="U404"/>
      <c r="V404"/>
      <c r="W404">
        <v>18</v>
      </c>
    </row>
    <row r="405" spans="1:23">
      <c r="A405"/>
      <c r="B405" t="s">
        <v>84</v>
      </c>
      <c r="C405" t="s">
        <v>84</v>
      </c>
      <c r="D405" t="s">
        <v>33</v>
      </c>
      <c r="E405" t="s">
        <v>34</v>
      </c>
      <c r="F405" t="str">
        <f>"0016958"</f>
        <v>0016958</v>
      </c>
      <c r="G405">
        <v>1</v>
      </c>
      <c r="H405" t="str">
        <f>"00000001"</f>
        <v>00000001</v>
      </c>
      <c r="I405" t="s">
        <v>35</v>
      </c>
      <c r="J405"/>
      <c r="K405">
        <v>41.53</v>
      </c>
      <c r="L405">
        <v>0.0</v>
      </c>
      <c r="M405"/>
      <c r="N405"/>
      <c r="O405">
        <v>7.47</v>
      </c>
      <c r="P405">
        <v>0.0</v>
      </c>
      <c r="Q405">
        <v>49.0</v>
      </c>
      <c r="R405"/>
      <c r="S405"/>
      <c r="T405"/>
      <c r="U405"/>
      <c r="V405"/>
      <c r="W405">
        <v>18</v>
      </c>
    </row>
    <row r="406" spans="1:23">
      <c r="A406"/>
      <c r="B406" t="s">
        <v>84</v>
      </c>
      <c r="C406" t="s">
        <v>84</v>
      </c>
      <c r="D406" t="s">
        <v>33</v>
      </c>
      <c r="E406" t="s">
        <v>34</v>
      </c>
      <c r="F406" t="str">
        <f>"0016959"</f>
        <v>0016959</v>
      </c>
      <c r="G406">
        <v>1</v>
      </c>
      <c r="H406" t="str">
        <f>"00000001"</f>
        <v>00000001</v>
      </c>
      <c r="I406" t="s">
        <v>35</v>
      </c>
      <c r="J406"/>
      <c r="K406">
        <v>44.07</v>
      </c>
      <c r="L406">
        <v>0.0</v>
      </c>
      <c r="M406"/>
      <c r="N406"/>
      <c r="O406">
        <v>7.93</v>
      </c>
      <c r="P406">
        <v>0.0</v>
      </c>
      <c r="Q406">
        <v>52.0</v>
      </c>
      <c r="R406"/>
      <c r="S406"/>
      <c r="T406"/>
      <c r="U406"/>
      <c r="V406"/>
      <c r="W406">
        <v>18</v>
      </c>
    </row>
    <row r="407" spans="1:23">
      <c r="A407"/>
      <c r="B407" t="s">
        <v>84</v>
      </c>
      <c r="C407" t="s">
        <v>84</v>
      </c>
      <c r="D407" t="s">
        <v>33</v>
      </c>
      <c r="E407" t="s">
        <v>34</v>
      </c>
      <c r="F407" t="str">
        <f>"0016960"</f>
        <v>0016960</v>
      </c>
      <c r="G407">
        <v>6</v>
      </c>
      <c r="H407" t="str">
        <f>"20608473174"</f>
        <v>20608473174</v>
      </c>
      <c r="I407" t="s">
        <v>59</v>
      </c>
      <c r="J407"/>
      <c r="K407">
        <v>8.56</v>
      </c>
      <c r="L407">
        <v>0.0</v>
      </c>
      <c r="M407"/>
      <c r="N407"/>
      <c r="O407">
        <v>1.54</v>
      </c>
      <c r="P407">
        <v>0.0</v>
      </c>
      <c r="Q407">
        <v>10.1</v>
      </c>
      <c r="R407"/>
      <c r="S407"/>
      <c r="T407"/>
      <c r="U407"/>
      <c r="V407"/>
      <c r="W407">
        <v>18</v>
      </c>
    </row>
    <row r="408" spans="1:23">
      <c r="A408"/>
      <c r="B408" t="s">
        <v>84</v>
      </c>
      <c r="C408" t="s">
        <v>84</v>
      </c>
      <c r="D408" t="s">
        <v>33</v>
      </c>
      <c r="E408" t="s">
        <v>34</v>
      </c>
      <c r="F408" t="str">
        <f>"0016961"</f>
        <v>0016961</v>
      </c>
      <c r="G408">
        <v>1</v>
      </c>
      <c r="H408" t="str">
        <f>"000iensl"</f>
        <v>000iensl</v>
      </c>
      <c r="I408" t="s">
        <v>86</v>
      </c>
      <c r="J408"/>
      <c r="K408">
        <v>7.63</v>
      </c>
      <c r="L408">
        <v>0.0</v>
      </c>
      <c r="M408"/>
      <c r="N408"/>
      <c r="O408">
        <v>1.37</v>
      </c>
      <c r="P408">
        <v>0.0</v>
      </c>
      <c r="Q408">
        <v>9.0</v>
      </c>
      <c r="R408"/>
      <c r="S408"/>
      <c r="T408"/>
      <c r="U408"/>
      <c r="V408"/>
      <c r="W408">
        <v>18</v>
      </c>
    </row>
    <row r="409" spans="1:23">
      <c r="A409"/>
      <c r="B409" t="s">
        <v>84</v>
      </c>
      <c r="C409" t="s">
        <v>84</v>
      </c>
      <c r="D409" t="s">
        <v>33</v>
      </c>
      <c r="E409" t="s">
        <v>34</v>
      </c>
      <c r="F409" t="str">
        <f>"0016962"</f>
        <v>0016962</v>
      </c>
      <c r="G409">
        <v>6</v>
      </c>
      <c r="H409" t="str">
        <f>"20608473174"</f>
        <v>20608473174</v>
      </c>
      <c r="I409" t="s">
        <v>59</v>
      </c>
      <c r="J409"/>
      <c r="K409">
        <v>42.37</v>
      </c>
      <c r="L409">
        <v>0.0</v>
      </c>
      <c r="M409"/>
      <c r="N409"/>
      <c r="O409">
        <v>7.63</v>
      </c>
      <c r="P409">
        <v>0.0</v>
      </c>
      <c r="Q409">
        <v>50.0</v>
      </c>
      <c r="R409"/>
      <c r="S409"/>
      <c r="T409"/>
      <c r="U409"/>
      <c r="V409"/>
      <c r="W409">
        <v>18</v>
      </c>
    </row>
    <row r="410" spans="1:23">
      <c r="A410"/>
      <c r="B410" t="s">
        <v>84</v>
      </c>
      <c r="C410" t="s">
        <v>84</v>
      </c>
      <c r="D410" t="s">
        <v>33</v>
      </c>
      <c r="E410" t="s">
        <v>34</v>
      </c>
      <c r="F410" t="str">
        <f>"0016963"</f>
        <v>0016963</v>
      </c>
      <c r="G410">
        <v>1</v>
      </c>
      <c r="H410" t="str">
        <f>"00000001"</f>
        <v>00000001</v>
      </c>
      <c r="I410" t="s">
        <v>35</v>
      </c>
      <c r="J410"/>
      <c r="K410">
        <v>42.37</v>
      </c>
      <c r="L410">
        <v>0.0</v>
      </c>
      <c r="M410"/>
      <c r="N410"/>
      <c r="O410">
        <v>7.63</v>
      </c>
      <c r="P410">
        <v>0.0</v>
      </c>
      <c r="Q410">
        <v>50.0</v>
      </c>
      <c r="R410"/>
      <c r="S410"/>
      <c r="T410"/>
      <c r="U410"/>
      <c r="V410"/>
      <c r="W410">
        <v>18</v>
      </c>
    </row>
    <row r="411" spans="1:23">
      <c r="A411"/>
      <c r="B411" t="s">
        <v>84</v>
      </c>
      <c r="C411" t="s">
        <v>84</v>
      </c>
      <c r="D411" t="s">
        <v>33</v>
      </c>
      <c r="E411" t="s">
        <v>34</v>
      </c>
      <c r="F411" t="str">
        <f>"0016964"</f>
        <v>0016964</v>
      </c>
      <c r="G411">
        <v>1</v>
      </c>
      <c r="H411" t="str">
        <f>"00000001"</f>
        <v>00000001</v>
      </c>
      <c r="I411" t="s">
        <v>35</v>
      </c>
      <c r="J411"/>
      <c r="K411">
        <v>18.64</v>
      </c>
      <c r="L411">
        <v>0.0</v>
      </c>
      <c r="M411"/>
      <c r="N411"/>
      <c r="O411">
        <v>3.36</v>
      </c>
      <c r="P411">
        <v>0.0</v>
      </c>
      <c r="Q411">
        <v>22.0</v>
      </c>
      <c r="R411"/>
      <c r="S411"/>
      <c r="T411"/>
      <c r="U411"/>
      <c r="V411"/>
      <c r="W411">
        <v>18</v>
      </c>
    </row>
    <row r="412" spans="1:23">
      <c r="A412"/>
      <c r="B412" t="s">
        <v>84</v>
      </c>
      <c r="C412" t="s">
        <v>84</v>
      </c>
      <c r="D412" t="s">
        <v>33</v>
      </c>
      <c r="E412" t="s">
        <v>34</v>
      </c>
      <c r="F412" t="str">
        <f>"0016965"</f>
        <v>0016965</v>
      </c>
      <c r="G412">
        <v>1</v>
      </c>
      <c r="H412" t="str">
        <f>"00000001"</f>
        <v>00000001</v>
      </c>
      <c r="I412" t="s">
        <v>35</v>
      </c>
      <c r="J412"/>
      <c r="K412">
        <v>2.97</v>
      </c>
      <c r="L412">
        <v>0.0</v>
      </c>
      <c r="M412"/>
      <c r="N412"/>
      <c r="O412">
        <v>0.53</v>
      </c>
      <c r="P412">
        <v>0.0</v>
      </c>
      <c r="Q412">
        <v>3.5</v>
      </c>
      <c r="R412"/>
      <c r="S412"/>
      <c r="T412"/>
      <c r="U412"/>
      <c r="V412"/>
      <c r="W412">
        <v>18</v>
      </c>
    </row>
    <row r="413" spans="1:23">
      <c r="A413"/>
      <c r="B413" t="s">
        <v>84</v>
      </c>
      <c r="C413" t="s">
        <v>84</v>
      </c>
      <c r="D413" t="s">
        <v>33</v>
      </c>
      <c r="E413" t="s">
        <v>34</v>
      </c>
      <c r="F413" t="str">
        <f>"0016966"</f>
        <v>0016966</v>
      </c>
      <c r="G413">
        <v>6</v>
      </c>
      <c r="H413" t="str">
        <f>"20608473174"</f>
        <v>20608473174</v>
      </c>
      <c r="I413" t="s">
        <v>59</v>
      </c>
      <c r="J413"/>
      <c r="K413">
        <v>42.37</v>
      </c>
      <c r="L413">
        <v>0.0</v>
      </c>
      <c r="M413"/>
      <c r="N413"/>
      <c r="O413">
        <v>7.63</v>
      </c>
      <c r="P413">
        <v>0.0</v>
      </c>
      <c r="Q413">
        <v>50.0</v>
      </c>
      <c r="R413"/>
      <c r="S413"/>
      <c r="T413"/>
      <c r="U413"/>
      <c r="V413"/>
      <c r="W413">
        <v>18</v>
      </c>
    </row>
    <row r="414" spans="1:23">
      <c r="A414"/>
      <c r="B414" t="s">
        <v>84</v>
      </c>
      <c r="C414" t="s">
        <v>84</v>
      </c>
      <c r="D414" t="s">
        <v>33</v>
      </c>
      <c r="E414" t="s">
        <v>34</v>
      </c>
      <c r="F414" t="str">
        <f>"0016967"</f>
        <v>0016967</v>
      </c>
      <c r="G414">
        <v>6</v>
      </c>
      <c r="H414" t="str">
        <f>"20608473174"</f>
        <v>20608473174</v>
      </c>
      <c r="I414" t="s">
        <v>59</v>
      </c>
      <c r="J414"/>
      <c r="K414">
        <v>42.37</v>
      </c>
      <c r="L414">
        <v>0.0</v>
      </c>
      <c r="M414"/>
      <c r="N414"/>
      <c r="O414">
        <v>7.63</v>
      </c>
      <c r="P414">
        <v>0.0</v>
      </c>
      <c r="Q414">
        <v>50.0</v>
      </c>
      <c r="R414"/>
      <c r="S414"/>
      <c r="T414"/>
      <c r="U414"/>
      <c r="V414"/>
      <c r="W414">
        <v>18</v>
      </c>
    </row>
    <row r="415" spans="1:23">
      <c r="A415"/>
      <c r="B415" t="s">
        <v>84</v>
      </c>
      <c r="C415" t="s">
        <v>84</v>
      </c>
      <c r="D415" t="s">
        <v>33</v>
      </c>
      <c r="E415" t="s">
        <v>34</v>
      </c>
      <c r="F415" t="str">
        <f>"0016968"</f>
        <v>0016968</v>
      </c>
      <c r="G415">
        <v>6</v>
      </c>
      <c r="H415" t="str">
        <f>"20608473174"</f>
        <v>20608473174</v>
      </c>
      <c r="I415" t="s">
        <v>59</v>
      </c>
      <c r="J415"/>
      <c r="K415">
        <v>25.42</v>
      </c>
      <c r="L415">
        <v>0.0</v>
      </c>
      <c r="M415"/>
      <c r="N415"/>
      <c r="O415">
        <v>4.58</v>
      </c>
      <c r="P415">
        <v>0.0</v>
      </c>
      <c r="Q415">
        <v>30.0</v>
      </c>
      <c r="R415"/>
      <c r="S415"/>
      <c r="T415"/>
      <c r="U415"/>
      <c r="V415"/>
      <c r="W415">
        <v>18</v>
      </c>
    </row>
    <row r="416" spans="1:23">
      <c r="A416"/>
      <c r="B416" t="s">
        <v>84</v>
      </c>
      <c r="C416" t="s">
        <v>84</v>
      </c>
      <c r="D416" t="s">
        <v>33</v>
      </c>
      <c r="E416" t="s">
        <v>34</v>
      </c>
      <c r="F416" t="str">
        <f>"0016969"</f>
        <v>0016969</v>
      </c>
      <c r="G416">
        <v>1</v>
      </c>
      <c r="H416" t="str">
        <f>"70652565"</f>
        <v>70652565</v>
      </c>
      <c r="I416" t="s">
        <v>87</v>
      </c>
      <c r="J416"/>
      <c r="K416">
        <v>22.03</v>
      </c>
      <c r="L416">
        <v>0.0</v>
      </c>
      <c r="M416"/>
      <c r="N416"/>
      <c r="O416">
        <v>3.97</v>
      </c>
      <c r="P416">
        <v>0.0</v>
      </c>
      <c r="Q416">
        <v>26.0</v>
      </c>
      <c r="R416"/>
      <c r="S416"/>
      <c r="T416"/>
      <c r="U416"/>
      <c r="V416"/>
      <c r="W416">
        <v>18</v>
      </c>
    </row>
    <row r="417" spans="1:23">
      <c r="A417"/>
      <c r="B417" t="s">
        <v>84</v>
      </c>
      <c r="C417" t="s">
        <v>84</v>
      </c>
      <c r="D417" t="s">
        <v>33</v>
      </c>
      <c r="E417" t="s">
        <v>34</v>
      </c>
      <c r="F417" t="str">
        <f>"0016970"</f>
        <v>0016970</v>
      </c>
      <c r="G417">
        <v>6</v>
      </c>
      <c r="H417" t="str">
        <f>"20608473174"</f>
        <v>20608473174</v>
      </c>
      <c r="I417" t="s">
        <v>59</v>
      </c>
      <c r="J417"/>
      <c r="K417">
        <v>16.1</v>
      </c>
      <c r="L417">
        <v>0.0</v>
      </c>
      <c r="M417"/>
      <c r="N417"/>
      <c r="O417">
        <v>2.9</v>
      </c>
      <c r="P417">
        <v>0.0</v>
      </c>
      <c r="Q417">
        <v>19.0</v>
      </c>
      <c r="R417"/>
      <c r="S417"/>
      <c r="T417"/>
      <c r="U417"/>
      <c r="V417"/>
      <c r="W417">
        <v>18</v>
      </c>
    </row>
    <row r="418" spans="1:23">
      <c r="A418"/>
      <c r="B418" t="s">
        <v>84</v>
      </c>
      <c r="C418" t="s">
        <v>84</v>
      </c>
      <c r="D418" t="s">
        <v>33</v>
      </c>
      <c r="E418" t="s">
        <v>34</v>
      </c>
      <c r="F418" t="str">
        <f>"0016971"</f>
        <v>0016971</v>
      </c>
      <c r="G418">
        <v>6</v>
      </c>
      <c r="H418" t="str">
        <f>"20608473174"</f>
        <v>20608473174</v>
      </c>
      <c r="I418" t="s">
        <v>59</v>
      </c>
      <c r="J418"/>
      <c r="K418">
        <v>42.37</v>
      </c>
      <c r="L418">
        <v>0.0</v>
      </c>
      <c r="M418"/>
      <c r="N418"/>
      <c r="O418">
        <v>7.63</v>
      </c>
      <c r="P418">
        <v>0.0</v>
      </c>
      <c r="Q418">
        <v>50.0</v>
      </c>
      <c r="R418"/>
      <c r="S418"/>
      <c r="T418"/>
      <c r="U418"/>
      <c r="V418"/>
      <c r="W418">
        <v>18</v>
      </c>
    </row>
    <row r="419" spans="1:23">
      <c r="A419"/>
      <c r="B419" t="s">
        <v>84</v>
      </c>
      <c r="C419" t="s">
        <v>84</v>
      </c>
      <c r="D419" t="s">
        <v>33</v>
      </c>
      <c r="E419" t="s">
        <v>34</v>
      </c>
      <c r="F419" t="str">
        <f>"0016972"</f>
        <v>0016972</v>
      </c>
      <c r="G419">
        <v>6</v>
      </c>
      <c r="H419" t="str">
        <f>"20608473174"</f>
        <v>20608473174</v>
      </c>
      <c r="I419" t="s">
        <v>59</v>
      </c>
      <c r="J419"/>
      <c r="K419">
        <v>11.02</v>
      </c>
      <c r="L419">
        <v>0.0</v>
      </c>
      <c r="M419"/>
      <c r="N419"/>
      <c r="O419">
        <v>1.98</v>
      </c>
      <c r="P419">
        <v>0.0</v>
      </c>
      <c r="Q419">
        <v>13.0</v>
      </c>
      <c r="R419"/>
      <c r="S419"/>
      <c r="T419"/>
      <c r="U419"/>
      <c r="V419"/>
      <c r="W419">
        <v>18</v>
      </c>
    </row>
    <row r="420" spans="1:23">
      <c r="A420"/>
      <c r="B420" t="s">
        <v>84</v>
      </c>
      <c r="C420" t="s">
        <v>84</v>
      </c>
      <c r="D420" t="s">
        <v>33</v>
      </c>
      <c r="E420" t="s">
        <v>34</v>
      </c>
      <c r="F420" t="str">
        <f>"0016973"</f>
        <v>0016973</v>
      </c>
      <c r="G420">
        <v>1</v>
      </c>
      <c r="H420" t="str">
        <f>"71132223"</f>
        <v>71132223</v>
      </c>
      <c r="I420" t="s">
        <v>88</v>
      </c>
      <c r="J420"/>
      <c r="K420">
        <v>14.41</v>
      </c>
      <c r="L420">
        <v>0.0</v>
      </c>
      <c r="M420"/>
      <c r="N420"/>
      <c r="O420">
        <v>2.59</v>
      </c>
      <c r="P420">
        <v>0.0</v>
      </c>
      <c r="Q420">
        <v>17.0</v>
      </c>
      <c r="R420"/>
      <c r="S420"/>
      <c r="T420"/>
      <c r="U420"/>
      <c r="V420"/>
      <c r="W420">
        <v>18</v>
      </c>
    </row>
    <row r="421" spans="1:23">
      <c r="A421"/>
      <c r="B421" t="s">
        <v>84</v>
      </c>
      <c r="C421" t="s">
        <v>84</v>
      </c>
      <c r="D421" t="s">
        <v>33</v>
      </c>
      <c r="E421" t="s">
        <v>34</v>
      </c>
      <c r="F421" t="str">
        <f>"0016974"</f>
        <v>0016974</v>
      </c>
      <c r="G421">
        <v>1</v>
      </c>
      <c r="H421" t="str">
        <f>"00000001"</f>
        <v>00000001</v>
      </c>
      <c r="I421" t="s">
        <v>35</v>
      </c>
      <c r="J421"/>
      <c r="K421">
        <v>4.24</v>
      </c>
      <c r="L421">
        <v>0.0</v>
      </c>
      <c r="M421"/>
      <c r="N421"/>
      <c r="O421">
        <v>0.76</v>
      </c>
      <c r="P421">
        <v>0.0</v>
      </c>
      <c r="Q421">
        <v>5.0</v>
      </c>
      <c r="R421"/>
      <c r="S421"/>
      <c r="T421"/>
      <c r="U421"/>
      <c r="V421"/>
      <c r="W421">
        <v>18</v>
      </c>
    </row>
    <row r="422" spans="1:23">
      <c r="A422"/>
      <c r="B422" t="s">
        <v>84</v>
      </c>
      <c r="C422" t="s">
        <v>84</v>
      </c>
      <c r="D422" t="s">
        <v>33</v>
      </c>
      <c r="E422" t="s">
        <v>34</v>
      </c>
      <c r="F422" t="str">
        <f>"0016975"</f>
        <v>0016975</v>
      </c>
      <c r="G422">
        <v>6</v>
      </c>
      <c r="H422" t="str">
        <f>"20608473174"</f>
        <v>20608473174</v>
      </c>
      <c r="I422" t="s">
        <v>59</v>
      </c>
      <c r="J422"/>
      <c r="K422">
        <v>42.37</v>
      </c>
      <c r="L422">
        <v>0.0</v>
      </c>
      <c r="M422"/>
      <c r="N422"/>
      <c r="O422">
        <v>7.63</v>
      </c>
      <c r="P422">
        <v>0.0</v>
      </c>
      <c r="Q422">
        <v>50.0</v>
      </c>
      <c r="R422"/>
      <c r="S422"/>
      <c r="T422"/>
      <c r="U422"/>
      <c r="V422"/>
      <c r="W422">
        <v>18</v>
      </c>
    </row>
    <row r="423" spans="1:23">
      <c r="A423"/>
      <c r="B423" t="s">
        <v>84</v>
      </c>
      <c r="C423" t="s">
        <v>84</v>
      </c>
      <c r="D423" t="s">
        <v>33</v>
      </c>
      <c r="E423" t="s">
        <v>34</v>
      </c>
      <c r="F423" t="str">
        <f>"0016976"</f>
        <v>0016976</v>
      </c>
      <c r="G423">
        <v>1</v>
      </c>
      <c r="H423" t="str">
        <f>"SUTEP000"</f>
        <v>SUTEP000</v>
      </c>
      <c r="I423" t="s">
        <v>89</v>
      </c>
      <c r="J423"/>
      <c r="K423">
        <v>40.68</v>
      </c>
      <c r="L423">
        <v>0.0</v>
      </c>
      <c r="M423"/>
      <c r="N423"/>
      <c r="O423">
        <v>7.32</v>
      </c>
      <c r="P423">
        <v>0.0</v>
      </c>
      <c r="Q423">
        <v>48.0</v>
      </c>
      <c r="R423"/>
      <c r="S423"/>
      <c r="T423"/>
      <c r="U423"/>
      <c r="V423"/>
      <c r="W423">
        <v>18</v>
      </c>
    </row>
    <row r="424" spans="1:23">
      <c r="A424"/>
      <c r="B424" t="s">
        <v>84</v>
      </c>
      <c r="C424" t="s">
        <v>84</v>
      </c>
      <c r="D424" t="s">
        <v>33</v>
      </c>
      <c r="E424" t="s">
        <v>34</v>
      </c>
      <c r="F424" t="str">
        <f>"0016977"</f>
        <v>0016977</v>
      </c>
      <c r="G424">
        <v>1</v>
      </c>
      <c r="H424" t="str">
        <f>"00000001"</f>
        <v>00000001</v>
      </c>
      <c r="I424" t="s">
        <v>35</v>
      </c>
      <c r="J424"/>
      <c r="K424">
        <v>2.12</v>
      </c>
      <c r="L424">
        <v>0.0</v>
      </c>
      <c r="M424"/>
      <c r="N424"/>
      <c r="O424">
        <v>0.38</v>
      </c>
      <c r="P424">
        <v>0.0</v>
      </c>
      <c r="Q424">
        <v>2.5</v>
      </c>
      <c r="R424"/>
      <c r="S424"/>
      <c r="T424"/>
      <c r="U424"/>
      <c r="V424"/>
      <c r="W424">
        <v>18</v>
      </c>
    </row>
    <row r="425" spans="1:23">
      <c r="A425"/>
      <c r="B425" t="s">
        <v>84</v>
      </c>
      <c r="C425" t="s">
        <v>84</v>
      </c>
      <c r="D425" t="s">
        <v>33</v>
      </c>
      <c r="E425" t="s">
        <v>34</v>
      </c>
      <c r="F425" t="str">
        <f>"0016978"</f>
        <v>0016978</v>
      </c>
      <c r="G425">
        <v>1</v>
      </c>
      <c r="H425" t="str">
        <f>"SUTEP000"</f>
        <v>SUTEP000</v>
      </c>
      <c r="I425" t="s">
        <v>89</v>
      </c>
      <c r="J425"/>
      <c r="K425">
        <v>8.47</v>
      </c>
      <c r="L425">
        <v>0.0</v>
      </c>
      <c r="M425"/>
      <c r="N425"/>
      <c r="O425">
        <v>1.53</v>
      </c>
      <c r="P425">
        <v>0.0</v>
      </c>
      <c r="Q425">
        <v>10.0</v>
      </c>
      <c r="R425"/>
      <c r="S425"/>
      <c r="T425"/>
      <c r="U425"/>
      <c r="V425"/>
      <c r="W425">
        <v>18</v>
      </c>
    </row>
    <row r="426" spans="1:23">
      <c r="A426"/>
      <c r="B426" t="s">
        <v>84</v>
      </c>
      <c r="C426" t="s">
        <v>84</v>
      </c>
      <c r="D426" t="s">
        <v>33</v>
      </c>
      <c r="E426" t="s">
        <v>34</v>
      </c>
      <c r="F426" t="str">
        <f>"0016979"</f>
        <v>0016979</v>
      </c>
      <c r="G426">
        <v>1</v>
      </c>
      <c r="H426" t="str">
        <f>"SUTEP000"</f>
        <v>SUTEP000</v>
      </c>
      <c r="I426" t="s">
        <v>89</v>
      </c>
      <c r="J426"/>
      <c r="K426">
        <v>11.02</v>
      </c>
      <c r="L426">
        <v>0.0</v>
      </c>
      <c r="M426"/>
      <c r="N426"/>
      <c r="O426">
        <v>1.98</v>
      </c>
      <c r="P426">
        <v>0.0</v>
      </c>
      <c r="Q426">
        <v>13.0</v>
      </c>
      <c r="R426"/>
      <c r="S426"/>
      <c r="T426"/>
      <c r="U426"/>
      <c r="V426"/>
      <c r="W426">
        <v>18</v>
      </c>
    </row>
    <row r="427" spans="1:23">
      <c r="A427"/>
      <c r="B427" t="s">
        <v>84</v>
      </c>
      <c r="C427" t="s">
        <v>84</v>
      </c>
      <c r="D427" t="s">
        <v>33</v>
      </c>
      <c r="E427" t="s">
        <v>34</v>
      </c>
      <c r="F427" t="str">
        <f>"0016980"</f>
        <v>0016980</v>
      </c>
      <c r="G427">
        <v>6</v>
      </c>
      <c r="H427" t="str">
        <f>"20608473174"</f>
        <v>20608473174</v>
      </c>
      <c r="I427" t="s">
        <v>59</v>
      </c>
      <c r="J427"/>
      <c r="K427">
        <v>21.19</v>
      </c>
      <c r="L427">
        <v>0.0</v>
      </c>
      <c r="M427"/>
      <c r="N427"/>
      <c r="O427">
        <v>3.81</v>
      </c>
      <c r="P427">
        <v>0.0</v>
      </c>
      <c r="Q427">
        <v>25.0</v>
      </c>
      <c r="R427"/>
      <c r="S427"/>
      <c r="T427"/>
      <c r="U427"/>
      <c r="V427"/>
      <c r="W427">
        <v>18</v>
      </c>
    </row>
    <row r="428" spans="1:23">
      <c r="A428"/>
      <c r="B428" t="s">
        <v>84</v>
      </c>
      <c r="C428" t="s">
        <v>84</v>
      </c>
      <c r="D428" t="s">
        <v>33</v>
      </c>
      <c r="E428" t="s">
        <v>34</v>
      </c>
      <c r="F428" t="str">
        <f>"0016981"</f>
        <v>0016981</v>
      </c>
      <c r="G428">
        <v>1</v>
      </c>
      <c r="H428" t="str">
        <f>"00000001"</f>
        <v>00000001</v>
      </c>
      <c r="I428" t="s">
        <v>35</v>
      </c>
      <c r="J428"/>
      <c r="K428">
        <v>3.39</v>
      </c>
      <c r="L428">
        <v>0.0</v>
      </c>
      <c r="M428"/>
      <c r="N428"/>
      <c r="O428">
        <v>0.61</v>
      </c>
      <c r="P428">
        <v>0.0</v>
      </c>
      <c r="Q428">
        <v>4.0</v>
      </c>
      <c r="R428"/>
      <c r="S428"/>
      <c r="T428"/>
      <c r="U428"/>
      <c r="V428"/>
      <c r="W428">
        <v>18</v>
      </c>
    </row>
    <row r="429" spans="1:23">
      <c r="A429"/>
      <c r="B429" t="s">
        <v>84</v>
      </c>
      <c r="C429" t="s">
        <v>84</v>
      </c>
      <c r="D429" t="s">
        <v>33</v>
      </c>
      <c r="E429" t="s">
        <v>34</v>
      </c>
      <c r="F429" t="str">
        <f>"0016982"</f>
        <v>0016982</v>
      </c>
      <c r="G429">
        <v>6</v>
      </c>
      <c r="H429" t="str">
        <f>"20608473174"</f>
        <v>20608473174</v>
      </c>
      <c r="I429" t="s">
        <v>59</v>
      </c>
      <c r="J429"/>
      <c r="K429">
        <v>42.37</v>
      </c>
      <c r="L429">
        <v>0.0</v>
      </c>
      <c r="M429"/>
      <c r="N429"/>
      <c r="O429">
        <v>7.63</v>
      </c>
      <c r="P429">
        <v>0.0</v>
      </c>
      <c r="Q429">
        <v>50.0</v>
      </c>
      <c r="R429"/>
      <c r="S429"/>
      <c r="T429"/>
      <c r="U429"/>
      <c r="V429"/>
      <c r="W429">
        <v>18</v>
      </c>
    </row>
    <row r="430" spans="1:23">
      <c r="A430"/>
      <c r="B430" t="s">
        <v>84</v>
      </c>
      <c r="C430" t="s">
        <v>84</v>
      </c>
      <c r="D430" t="s">
        <v>36</v>
      </c>
      <c r="E430" t="s">
        <v>37</v>
      </c>
      <c r="F430" t="str">
        <f>"0001370"</f>
        <v>0001370</v>
      </c>
      <c r="G430">
        <v>6</v>
      </c>
      <c r="H430" t="str">
        <f>"20212387755"</f>
        <v>20212387755</v>
      </c>
      <c r="I430" t="s">
        <v>90</v>
      </c>
      <c r="J430"/>
      <c r="K430">
        <v>96.19</v>
      </c>
      <c r="L430">
        <v>0.0</v>
      </c>
      <c r="M430"/>
      <c r="N430"/>
      <c r="O430">
        <v>17.31</v>
      </c>
      <c r="P430">
        <v>0.0</v>
      </c>
      <c r="Q430">
        <v>113.5</v>
      </c>
      <c r="R430"/>
      <c r="S430"/>
      <c r="T430"/>
      <c r="U430"/>
      <c r="V430"/>
      <c r="W430">
        <v>18</v>
      </c>
    </row>
    <row r="431" spans="1:23">
      <c r="A431"/>
      <c r="B431" t="s">
        <v>84</v>
      </c>
      <c r="C431" t="s">
        <v>84</v>
      </c>
      <c r="D431" t="s">
        <v>36</v>
      </c>
      <c r="E431" t="s">
        <v>37</v>
      </c>
      <c r="F431" t="str">
        <f>"0001371"</f>
        <v>0001371</v>
      </c>
      <c r="G431">
        <v>6</v>
      </c>
      <c r="H431" t="str">
        <f>"20212387755"</f>
        <v>20212387755</v>
      </c>
      <c r="I431" t="s">
        <v>90</v>
      </c>
      <c r="J431"/>
      <c r="K431">
        <v>130.08</v>
      </c>
      <c r="L431">
        <v>0.0</v>
      </c>
      <c r="M431"/>
      <c r="N431"/>
      <c r="O431">
        <v>23.42</v>
      </c>
      <c r="P431">
        <v>0.0</v>
      </c>
      <c r="Q431">
        <v>153.5</v>
      </c>
      <c r="R431"/>
      <c r="S431"/>
      <c r="T431"/>
      <c r="U431"/>
      <c r="V431"/>
      <c r="W431">
        <v>18</v>
      </c>
    </row>
    <row r="432" spans="1:23">
      <c r="A432"/>
      <c r="B432" t="s">
        <v>84</v>
      </c>
      <c r="C432" t="s">
        <v>84</v>
      </c>
      <c r="D432" t="s">
        <v>36</v>
      </c>
      <c r="E432" t="s">
        <v>37</v>
      </c>
      <c r="F432" t="str">
        <f>"0001372"</f>
        <v>0001372</v>
      </c>
      <c r="G432">
        <v>6</v>
      </c>
      <c r="H432" t="str">
        <f>"20212387755"</f>
        <v>20212387755</v>
      </c>
      <c r="I432" t="s">
        <v>90</v>
      </c>
      <c r="J432"/>
      <c r="K432">
        <v>96.19</v>
      </c>
      <c r="L432">
        <v>0.0</v>
      </c>
      <c r="M432"/>
      <c r="N432"/>
      <c r="O432">
        <v>17.31</v>
      </c>
      <c r="P432">
        <v>0.0</v>
      </c>
      <c r="Q432">
        <v>113.5</v>
      </c>
      <c r="R432"/>
      <c r="S432"/>
      <c r="T432"/>
      <c r="U432"/>
      <c r="V432"/>
      <c r="W432">
        <v>18</v>
      </c>
    </row>
    <row r="433" spans="1:23">
      <c r="A433"/>
      <c r="B433" t="s">
        <v>84</v>
      </c>
      <c r="C433" t="s">
        <v>84</v>
      </c>
      <c r="D433" t="s">
        <v>33</v>
      </c>
      <c r="E433" t="s">
        <v>34</v>
      </c>
      <c r="F433" t="str">
        <f>"0016983"</f>
        <v>0016983</v>
      </c>
      <c r="G433">
        <v>1</v>
      </c>
      <c r="H433" t="str">
        <f>"00000001"</f>
        <v>00000001</v>
      </c>
      <c r="I433" t="s">
        <v>35</v>
      </c>
      <c r="J433"/>
      <c r="K433">
        <v>23.73</v>
      </c>
      <c r="L433">
        <v>0.0</v>
      </c>
      <c r="M433"/>
      <c r="N433"/>
      <c r="O433">
        <v>4.27</v>
      </c>
      <c r="P433">
        <v>0.0</v>
      </c>
      <c r="Q433">
        <v>28.0</v>
      </c>
      <c r="R433"/>
      <c r="S433"/>
      <c r="T433"/>
      <c r="U433"/>
      <c r="V433"/>
      <c r="W433">
        <v>18</v>
      </c>
    </row>
    <row r="434" spans="1:23">
      <c r="A434"/>
      <c r="B434" t="s">
        <v>84</v>
      </c>
      <c r="C434" t="s">
        <v>84</v>
      </c>
      <c r="D434" t="s">
        <v>36</v>
      </c>
      <c r="E434" t="s">
        <v>37</v>
      </c>
      <c r="F434" t="str">
        <f>"0001373"</f>
        <v>0001373</v>
      </c>
      <c r="G434">
        <v>6</v>
      </c>
      <c r="H434" t="str">
        <f>"20495670733"</f>
        <v>20495670733</v>
      </c>
      <c r="I434" t="s">
        <v>91</v>
      </c>
      <c r="J434"/>
      <c r="K434">
        <v>12.71</v>
      </c>
      <c r="L434">
        <v>0.0</v>
      </c>
      <c r="M434"/>
      <c r="N434"/>
      <c r="O434">
        <v>2.29</v>
      </c>
      <c r="P434">
        <v>0.0</v>
      </c>
      <c r="Q434">
        <v>15.0</v>
      </c>
      <c r="R434"/>
      <c r="S434"/>
      <c r="T434"/>
      <c r="U434"/>
      <c r="V434"/>
      <c r="W434">
        <v>18</v>
      </c>
    </row>
    <row r="435" spans="1:23">
      <c r="A435"/>
      <c r="B435" t="s">
        <v>84</v>
      </c>
      <c r="C435" t="s">
        <v>84</v>
      </c>
      <c r="D435" t="s">
        <v>33</v>
      </c>
      <c r="E435" t="s">
        <v>34</v>
      </c>
      <c r="F435" t="str">
        <f>"0016984"</f>
        <v>0016984</v>
      </c>
      <c r="G435">
        <v>1</v>
      </c>
      <c r="H435" t="str">
        <f>"00000001"</f>
        <v>00000001</v>
      </c>
      <c r="I435" t="s">
        <v>35</v>
      </c>
      <c r="J435"/>
      <c r="K435">
        <v>22.88</v>
      </c>
      <c r="L435">
        <v>0.0</v>
      </c>
      <c r="M435"/>
      <c r="N435"/>
      <c r="O435">
        <v>4.12</v>
      </c>
      <c r="P435">
        <v>0.0</v>
      </c>
      <c r="Q435">
        <v>27.0</v>
      </c>
      <c r="R435"/>
      <c r="S435"/>
      <c r="T435"/>
      <c r="U435"/>
      <c r="V435"/>
      <c r="W435">
        <v>18</v>
      </c>
    </row>
    <row r="436" spans="1:23">
      <c r="A436"/>
      <c r="B436" t="s">
        <v>84</v>
      </c>
      <c r="C436" t="s">
        <v>84</v>
      </c>
      <c r="D436" t="s">
        <v>36</v>
      </c>
      <c r="E436" t="s">
        <v>37</v>
      </c>
      <c r="F436" t="str">
        <f>"0001374"</f>
        <v>0001374</v>
      </c>
      <c r="G436">
        <v>6</v>
      </c>
      <c r="H436" t="str">
        <f>"20101298851"</f>
        <v>20101298851</v>
      </c>
      <c r="I436" t="s">
        <v>42</v>
      </c>
      <c r="J436"/>
      <c r="K436">
        <v>10.17</v>
      </c>
      <c r="L436">
        <v>0.0</v>
      </c>
      <c r="M436"/>
      <c r="N436"/>
      <c r="O436">
        <v>1.83</v>
      </c>
      <c r="P436">
        <v>0.0</v>
      </c>
      <c r="Q436">
        <v>12.0</v>
      </c>
      <c r="R436"/>
      <c r="S436"/>
      <c r="T436"/>
      <c r="U436"/>
      <c r="V436"/>
      <c r="W436">
        <v>18</v>
      </c>
    </row>
    <row r="437" spans="1:23">
      <c r="A437"/>
      <c r="B437" t="s">
        <v>84</v>
      </c>
      <c r="C437" t="s">
        <v>84</v>
      </c>
      <c r="D437" t="s">
        <v>33</v>
      </c>
      <c r="E437" t="s">
        <v>34</v>
      </c>
      <c r="F437" t="str">
        <f>"0016985"</f>
        <v>0016985</v>
      </c>
      <c r="G437">
        <v>1</v>
      </c>
      <c r="H437" t="str">
        <f>"00000001"</f>
        <v>00000001</v>
      </c>
      <c r="I437" t="s">
        <v>35</v>
      </c>
      <c r="J437"/>
      <c r="K437">
        <v>8.47</v>
      </c>
      <c r="L437">
        <v>0.0</v>
      </c>
      <c r="M437"/>
      <c r="N437"/>
      <c r="O437">
        <v>1.53</v>
      </c>
      <c r="P437">
        <v>0.0</v>
      </c>
      <c r="Q437">
        <v>10.0</v>
      </c>
      <c r="R437"/>
      <c r="S437"/>
      <c r="T437"/>
      <c r="U437"/>
      <c r="V437"/>
      <c r="W437">
        <v>18</v>
      </c>
    </row>
    <row r="438" spans="1:23">
      <c r="A438"/>
      <c r="B438" t="s">
        <v>84</v>
      </c>
      <c r="C438" t="s">
        <v>84</v>
      </c>
      <c r="D438" t="s">
        <v>33</v>
      </c>
      <c r="E438" t="s">
        <v>34</v>
      </c>
      <c r="F438" t="str">
        <f>"0016986"</f>
        <v>0016986</v>
      </c>
      <c r="G438">
        <v>6</v>
      </c>
      <c r="H438" t="str">
        <f>"20101298851"</f>
        <v>20101298851</v>
      </c>
      <c r="I438" t="s">
        <v>42</v>
      </c>
      <c r="J438"/>
      <c r="K438">
        <v>8.47</v>
      </c>
      <c r="L438">
        <v>0.0</v>
      </c>
      <c r="M438"/>
      <c r="N438"/>
      <c r="O438">
        <v>1.53</v>
      </c>
      <c r="P438">
        <v>0.0</v>
      </c>
      <c r="Q438">
        <v>10.0</v>
      </c>
      <c r="R438"/>
      <c r="S438"/>
      <c r="T438"/>
      <c r="U438"/>
      <c r="V438"/>
      <c r="W438">
        <v>18</v>
      </c>
    </row>
    <row r="439" spans="1:23">
      <c r="A439"/>
      <c r="B439" t="s">
        <v>84</v>
      </c>
      <c r="C439" t="s">
        <v>84</v>
      </c>
      <c r="D439" t="s">
        <v>36</v>
      </c>
      <c r="E439" t="s">
        <v>37</v>
      </c>
      <c r="F439" t="str">
        <f>"0001375"</f>
        <v>0001375</v>
      </c>
      <c r="G439">
        <v>6</v>
      </c>
      <c r="H439" t="str">
        <f>"20101298851"</f>
        <v>20101298851</v>
      </c>
      <c r="I439" t="s">
        <v>42</v>
      </c>
      <c r="J439"/>
      <c r="K439">
        <v>8.47</v>
      </c>
      <c r="L439">
        <v>0.0</v>
      </c>
      <c r="M439"/>
      <c r="N439"/>
      <c r="O439">
        <v>1.53</v>
      </c>
      <c r="P439">
        <v>0.0</v>
      </c>
      <c r="Q439">
        <v>10.0</v>
      </c>
      <c r="R439"/>
      <c r="S439"/>
      <c r="T439"/>
      <c r="U439"/>
      <c r="V439"/>
      <c r="W439">
        <v>18</v>
      </c>
    </row>
    <row r="440" spans="1:23">
      <c r="A440"/>
      <c r="B440" t="s">
        <v>92</v>
      </c>
      <c r="C440" t="s">
        <v>92</v>
      </c>
      <c r="D440" t="s">
        <v>33</v>
      </c>
      <c r="E440" t="s">
        <v>34</v>
      </c>
      <c r="F440" t="str">
        <f>"0016987"</f>
        <v>0016987</v>
      </c>
      <c r="G440">
        <v>1</v>
      </c>
      <c r="H440" t="str">
        <f>"00000001"</f>
        <v>00000001</v>
      </c>
      <c r="I440" t="s">
        <v>35</v>
      </c>
      <c r="J440"/>
      <c r="K440">
        <v>5.93</v>
      </c>
      <c r="L440">
        <v>0.0</v>
      </c>
      <c r="M440"/>
      <c r="N440"/>
      <c r="O440">
        <v>1.07</v>
      </c>
      <c r="P440">
        <v>0.0</v>
      </c>
      <c r="Q440">
        <v>7.0</v>
      </c>
      <c r="R440"/>
      <c r="S440"/>
      <c r="T440"/>
      <c r="U440"/>
      <c r="V440"/>
      <c r="W440">
        <v>18</v>
      </c>
    </row>
    <row r="441" spans="1:23">
      <c r="A441"/>
      <c r="B441" t="s">
        <v>92</v>
      </c>
      <c r="C441" t="s">
        <v>92</v>
      </c>
      <c r="D441" t="s">
        <v>33</v>
      </c>
      <c r="E441" t="s">
        <v>34</v>
      </c>
      <c r="F441" t="str">
        <f>"0016988"</f>
        <v>0016988</v>
      </c>
      <c r="G441">
        <v>1</v>
      </c>
      <c r="H441" t="str">
        <f>"00000001"</f>
        <v>00000001</v>
      </c>
      <c r="I441" t="s">
        <v>35</v>
      </c>
      <c r="J441"/>
      <c r="K441">
        <v>6.78</v>
      </c>
      <c r="L441">
        <v>0.0</v>
      </c>
      <c r="M441"/>
      <c r="N441"/>
      <c r="O441">
        <v>1.22</v>
      </c>
      <c r="P441">
        <v>0.0</v>
      </c>
      <c r="Q441">
        <v>8.0</v>
      </c>
      <c r="R441"/>
      <c r="S441"/>
      <c r="T441"/>
      <c r="U441"/>
      <c r="V441"/>
      <c r="W441">
        <v>18</v>
      </c>
    </row>
    <row r="442" spans="1:23">
      <c r="A442"/>
      <c r="B442" t="s">
        <v>92</v>
      </c>
      <c r="C442" t="s">
        <v>92</v>
      </c>
      <c r="D442" t="s">
        <v>33</v>
      </c>
      <c r="E442" t="s">
        <v>34</v>
      </c>
      <c r="F442" t="str">
        <f>"0016989"</f>
        <v>0016989</v>
      </c>
      <c r="G442">
        <v>1</v>
      </c>
      <c r="H442" t="str">
        <f>"00000001"</f>
        <v>00000001</v>
      </c>
      <c r="I442" t="s">
        <v>35</v>
      </c>
      <c r="J442"/>
      <c r="K442">
        <v>1.69</v>
      </c>
      <c r="L442">
        <v>0.0</v>
      </c>
      <c r="M442"/>
      <c r="N442"/>
      <c r="O442">
        <v>0.31</v>
      </c>
      <c r="P442">
        <v>0.0</v>
      </c>
      <c r="Q442">
        <v>2.0</v>
      </c>
      <c r="R442"/>
      <c r="S442"/>
      <c r="T442"/>
      <c r="U442"/>
      <c r="V442"/>
      <c r="W442">
        <v>18</v>
      </c>
    </row>
    <row r="443" spans="1:23">
      <c r="A443"/>
      <c r="B443" t="s">
        <v>92</v>
      </c>
      <c r="C443" t="s">
        <v>92</v>
      </c>
      <c r="D443" t="s">
        <v>33</v>
      </c>
      <c r="E443" t="s">
        <v>34</v>
      </c>
      <c r="F443" t="str">
        <f>"0016990"</f>
        <v>0016990</v>
      </c>
      <c r="G443">
        <v>1</v>
      </c>
      <c r="H443" t="str">
        <f>"00IESCII"</f>
        <v>00IESCII</v>
      </c>
      <c r="I443" t="s">
        <v>93</v>
      </c>
      <c r="J443"/>
      <c r="K443">
        <v>27.12</v>
      </c>
      <c r="L443">
        <v>0.0</v>
      </c>
      <c r="M443"/>
      <c r="N443"/>
      <c r="O443">
        <v>4.88</v>
      </c>
      <c r="P443">
        <v>0.0</v>
      </c>
      <c r="Q443">
        <v>32.0</v>
      </c>
      <c r="R443"/>
      <c r="S443"/>
      <c r="T443"/>
      <c r="U443"/>
      <c r="V443"/>
      <c r="W443">
        <v>18</v>
      </c>
    </row>
    <row r="444" spans="1:23">
      <c r="A444"/>
      <c r="B444" t="s">
        <v>92</v>
      </c>
      <c r="C444" t="s">
        <v>92</v>
      </c>
      <c r="D444" t="s">
        <v>33</v>
      </c>
      <c r="E444" t="s">
        <v>34</v>
      </c>
      <c r="F444" t="str">
        <f>"0016991"</f>
        <v>0016991</v>
      </c>
      <c r="G444">
        <v>1</v>
      </c>
      <c r="H444" t="str">
        <f>"00000001"</f>
        <v>00000001</v>
      </c>
      <c r="I444" t="s">
        <v>35</v>
      </c>
      <c r="J444"/>
      <c r="K444">
        <v>5.08</v>
      </c>
      <c r="L444">
        <v>0.0</v>
      </c>
      <c r="M444"/>
      <c r="N444"/>
      <c r="O444">
        <v>0.92</v>
      </c>
      <c r="P444">
        <v>0.0</v>
      </c>
      <c r="Q444">
        <v>6.0</v>
      </c>
      <c r="R444"/>
      <c r="S444"/>
      <c r="T444"/>
      <c r="U444"/>
      <c r="V444"/>
      <c r="W444">
        <v>18</v>
      </c>
    </row>
    <row r="445" spans="1:23">
      <c r="A445"/>
      <c r="B445" t="s">
        <v>92</v>
      </c>
      <c r="C445" t="s">
        <v>92</v>
      </c>
      <c r="D445" t="s">
        <v>33</v>
      </c>
      <c r="E445" t="s">
        <v>34</v>
      </c>
      <c r="F445" t="str">
        <f>"0016992"</f>
        <v>0016992</v>
      </c>
      <c r="G445">
        <v>1</v>
      </c>
      <c r="H445" t="str">
        <f>"00000001"</f>
        <v>00000001</v>
      </c>
      <c r="I445" t="s">
        <v>35</v>
      </c>
      <c r="J445"/>
      <c r="K445">
        <v>5.08</v>
      </c>
      <c r="L445">
        <v>0.0</v>
      </c>
      <c r="M445"/>
      <c r="N445"/>
      <c r="O445">
        <v>0.92</v>
      </c>
      <c r="P445">
        <v>0.0</v>
      </c>
      <c r="Q445">
        <v>6.0</v>
      </c>
      <c r="R445"/>
      <c r="S445"/>
      <c r="T445"/>
      <c r="U445"/>
      <c r="V445"/>
      <c r="W445">
        <v>18</v>
      </c>
    </row>
    <row r="446" spans="1:23">
      <c r="A446"/>
      <c r="B446" t="s">
        <v>92</v>
      </c>
      <c r="C446" t="s">
        <v>92</v>
      </c>
      <c r="D446" t="s">
        <v>33</v>
      </c>
      <c r="E446" t="s">
        <v>34</v>
      </c>
      <c r="F446" t="str">
        <f>"0016993"</f>
        <v>0016993</v>
      </c>
      <c r="G446">
        <v>1</v>
      </c>
      <c r="H446" t="str">
        <f>"00000001"</f>
        <v>00000001</v>
      </c>
      <c r="I446" t="s">
        <v>35</v>
      </c>
      <c r="J446"/>
      <c r="K446">
        <v>32.2</v>
      </c>
      <c r="L446">
        <v>0.0</v>
      </c>
      <c r="M446"/>
      <c r="N446"/>
      <c r="O446">
        <v>5.8</v>
      </c>
      <c r="P446">
        <v>0.0</v>
      </c>
      <c r="Q446">
        <v>38.0</v>
      </c>
      <c r="R446"/>
      <c r="S446"/>
      <c r="T446"/>
      <c r="U446"/>
      <c r="V446"/>
      <c r="W446">
        <v>18</v>
      </c>
    </row>
    <row r="447" spans="1:23">
      <c r="A447"/>
      <c r="B447" t="s">
        <v>92</v>
      </c>
      <c r="C447" t="s">
        <v>92</v>
      </c>
      <c r="D447" t="s">
        <v>36</v>
      </c>
      <c r="E447" t="s">
        <v>37</v>
      </c>
      <c r="F447" t="str">
        <f>"0001376"</f>
        <v>0001376</v>
      </c>
      <c r="G447">
        <v>6</v>
      </c>
      <c r="H447" t="str">
        <f>"20212387755"</f>
        <v>20212387755</v>
      </c>
      <c r="I447" t="s">
        <v>90</v>
      </c>
      <c r="J447"/>
      <c r="K447">
        <v>33.9</v>
      </c>
      <c r="L447">
        <v>0.0</v>
      </c>
      <c r="M447"/>
      <c r="N447"/>
      <c r="O447">
        <v>6.1</v>
      </c>
      <c r="P447">
        <v>0.0</v>
      </c>
      <c r="Q447">
        <v>40.0</v>
      </c>
      <c r="R447"/>
      <c r="S447"/>
      <c r="T447"/>
      <c r="U447"/>
      <c r="V447"/>
      <c r="W447">
        <v>18</v>
      </c>
    </row>
    <row r="448" spans="1:23">
      <c r="A448"/>
      <c r="B448" t="s">
        <v>92</v>
      </c>
      <c r="C448" t="s">
        <v>92</v>
      </c>
      <c r="D448" t="s">
        <v>36</v>
      </c>
      <c r="E448" t="s">
        <v>37</v>
      </c>
      <c r="F448" t="str">
        <f>"0001377"</f>
        <v>0001377</v>
      </c>
      <c r="G448">
        <v>6</v>
      </c>
      <c r="H448" t="str">
        <f>"20212387755"</f>
        <v>20212387755</v>
      </c>
      <c r="I448" t="s">
        <v>90</v>
      </c>
      <c r="J448"/>
      <c r="K448">
        <v>10.17</v>
      </c>
      <c r="L448">
        <v>0.0</v>
      </c>
      <c r="M448"/>
      <c r="N448"/>
      <c r="O448">
        <v>1.83</v>
      </c>
      <c r="P448">
        <v>0.0</v>
      </c>
      <c r="Q448">
        <v>12.0</v>
      </c>
      <c r="R448"/>
      <c r="S448"/>
      <c r="T448"/>
      <c r="U448"/>
      <c r="V448"/>
      <c r="W448">
        <v>18</v>
      </c>
    </row>
    <row r="449" spans="1:23">
      <c r="A449"/>
      <c r="B449" t="s">
        <v>92</v>
      </c>
      <c r="C449" t="s">
        <v>92</v>
      </c>
      <c r="D449" t="s">
        <v>36</v>
      </c>
      <c r="E449" t="s">
        <v>37</v>
      </c>
      <c r="F449" t="str">
        <f>"0001378"</f>
        <v>0001378</v>
      </c>
      <c r="G449">
        <v>6</v>
      </c>
      <c r="H449" t="str">
        <f>"20101298851"</f>
        <v>20101298851</v>
      </c>
      <c r="I449" t="s">
        <v>42</v>
      </c>
      <c r="J449"/>
      <c r="K449">
        <v>50.85</v>
      </c>
      <c r="L449">
        <v>0.0</v>
      </c>
      <c r="M449"/>
      <c r="N449"/>
      <c r="O449">
        <v>9.15</v>
      </c>
      <c r="P449">
        <v>0.0</v>
      </c>
      <c r="Q449">
        <v>60.0</v>
      </c>
      <c r="R449"/>
      <c r="S449"/>
      <c r="T449"/>
      <c r="U449"/>
      <c r="V449"/>
      <c r="W449">
        <v>18</v>
      </c>
    </row>
    <row r="450" spans="1:23">
      <c r="A450"/>
      <c r="B450" t="s">
        <v>92</v>
      </c>
      <c r="C450" t="s">
        <v>92</v>
      </c>
      <c r="D450" t="s">
        <v>33</v>
      </c>
      <c r="E450" t="s">
        <v>34</v>
      </c>
      <c r="F450" t="str">
        <f>"0016994"</f>
        <v>0016994</v>
      </c>
      <c r="G450">
        <v>1</v>
      </c>
      <c r="H450" t="str">
        <f>"00000001"</f>
        <v>00000001</v>
      </c>
      <c r="I450" t="s">
        <v>35</v>
      </c>
      <c r="J450"/>
      <c r="K450">
        <v>8.47</v>
      </c>
      <c r="L450">
        <v>0.0</v>
      </c>
      <c r="M450"/>
      <c r="N450"/>
      <c r="O450">
        <v>1.53</v>
      </c>
      <c r="P450">
        <v>0.0</v>
      </c>
      <c r="Q450">
        <v>10.0</v>
      </c>
      <c r="R450"/>
      <c r="S450"/>
      <c r="T450"/>
      <c r="U450"/>
      <c r="V450"/>
      <c r="W450">
        <v>18</v>
      </c>
    </row>
    <row r="451" spans="1:23">
      <c r="A451"/>
      <c r="B451" t="s">
        <v>92</v>
      </c>
      <c r="C451" t="s">
        <v>92</v>
      </c>
      <c r="D451" t="s">
        <v>33</v>
      </c>
      <c r="E451" t="s">
        <v>34</v>
      </c>
      <c r="F451" t="str">
        <f>"0016995"</f>
        <v>0016995</v>
      </c>
      <c r="G451">
        <v>1</v>
      </c>
      <c r="H451" t="str">
        <f>"00000001"</f>
        <v>00000001</v>
      </c>
      <c r="I451" t="s">
        <v>35</v>
      </c>
      <c r="J451"/>
      <c r="K451">
        <v>6.78</v>
      </c>
      <c r="L451">
        <v>0.0</v>
      </c>
      <c r="M451"/>
      <c r="N451"/>
      <c r="O451">
        <v>1.22</v>
      </c>
      <c r="P451">
        <v>0.0</v>
      </c>
      <c r="Q451">
        <v>8.0</v>
      </c>
      <c r="R451"/>
      <c r="S451"/>
      <c r="T451"/>
      <c r="U451"/>
      <c r="V451"/>
      <c r="W451">
        <v>18</v>
      </c>
    </row>
    <row r="452" spans="1:23">
      <c r="A452"/>
      <c r="B452" t="s">
        <v>92</v>
      </c>
      <c r="C452" t="s">
        <v>92</v>
      </c>
      <c r="D452" t="s">
        <v>33</v>
      </c>
      <c r="E452" t="s">
        <v>34</v>
      </c>
      <c r="F452" t="str">
        <f>"0016996"</f>
        <v>0016996</v>
      </c>
      <c r="G452">
        <v>1</v>
      </c>
      <c r="H452" t="str">
        <f>"00000001"</f>
        <v>00000001</v>
      </c>
      <c r="I452" t="s">
        <v>35</v>
      </c>
      <c r="J452"/>
      <c r="K452">
        <v>4.24</v>
      </c>
      <c r="L452">
        <v>0.0</v>
      </c>
      <c r="M452"/>
      <c r="N452"/>
      <c r="O452">
        <v>0.76</v>
      </c>
      <c r="P452">
        <v>0.0</v>
      </c>
      <c r="Q452">
        <v>5.0</v>
      </c>
      <c r="R452"/>
      <c r="S452"/>
      <c r="T452"/>
      <c r="U452"/>
      <c r="V452"/>
      <c r="W452">
        <v>18</v>
      </c>
    </row>
    <row r="453" spans="1:23">
      <c r="A453"/>
      <c r="B453" t="s">
        <v>92</v>
      </c>
      <c r="C453" t="s">
        <v>92</v>
      </c>
      <c r="D453" t="s">
        <v>33</v>
      </c>
      <c r="E453" t="s">
        <v>34</v>
      </c>
      <c r="F453" t="str">
        <f>"0016997"</f>
        <v>0016997</v>
      </c>
      <c r="G453">
        <v>1</v>
      </c>
      <c r="H453" t="str">
        <f>"00000001"</f>
        <v>00000001</v>
      </c>
      <c r="I453" t="s">
        <v>35</v>
      </c>
      <c r="J453"/>
      <c r="K453">
        <v>4.24</v>
      </c>
      <c r="L453">
        <v>0.0</v>
      </c>
      <c r="M453"/>
      <c r="N453"/>
      <c r="O453">
        <v>0.76</v>
      </c>
      <c r="P453">
        <v>0.0</v>
      </c>
      <c r="Q453">
        <v>5.0</v>
      </c>
      <c r="R453"/>
      <c r="S453"/>
      <c r="T453"/>
      <c r="U453"/>
      <c r="V453"/>
      <c r="W453">
        <v>18</v>
      </c>
    </row>
    <row r="454" spans="1:23">
      <c r="A454"/>
      <c r="B454" t="s">
        <v>92</v>
      </c>
      <c r="C454" t="s">
        <v>92</v>
      </c>
      <c r="D454" t="s">
        <v>33</v>
      </c>
      <c r="E454" t="s">
        <v>34</v>
      </c>
      <c r="F454" t="str">
        <f>"0016998"</f>
        <v>0016998</v>
      </c>
      <c r="G454">
        <v>1</v>
      </c>
      <c r="H454" t="str">
        <f>"00000001"</f>
        <v>00000001</v>
      </c>
      <c r="I454" t="s">
        <v>35</v>
      </c>
      <c r="J454"/>
      <c r="K454">
        <v>12.29</v>
      </c>
      <c r="L454">
        <v>0.0</v>
      </c>
      <c r="M454"/>
      <c r="N454"/>
      <c r="O454">
        <v>2.21</v>
      </c>
      <c r="P454">
        <v>0.0</v>
      </c>
      <c r="Q454">
        <v>14.5</v>
      </c>
      <c r="R454"/>
      <c r="S454"/>
      <c r="T454"/>
      <c r="U454"/>
      <c r="V454"/>
      <c r="W454">
        <v>18</v>
      </c>
    </row>
    <row r="455" spans="1:23">
      <c r="A455"/>
      <c r="B455" t="s">
        <v>92</v>
      </c>
      <c r="C455" t="s">
        <v>92</v>
      </c>
      <c r="D455" t="s">
        <v>36</v>
      </c>
      <c r="E455" t="s">
        <v>37</v>
      </c>
      <c r="F455" t="str">
        <f>"0001379"</f>
        <v>0001379</v>
      </c>
      <c r="G455">
        <v>6</v>
      </c>
      <c r="H455" t="str">
        <f>"20101298851"</f>
        <v>20101298851</v>
      </c>
      <c r="I455" t="s">
        <v>42</v>
      </c>
      <c r="J455"/>
      <c r="K455">
        <v>5.08</v>
      </c>
      <c r="L455">
        <v>0.0</v>
      </c>
      <c r="M455"/>
      <c r="N455"/>
      <c r="O455">
        <v>0.92</v>
      </c>
      <c r="P455">
        <v>0.0</v>
      </c>
      <c r="Q455">
        <v>6.0</v>
      </c>
      <c r="R455"/>
      <c r="S455"/>
      <c r="T455"/>
      <c r="U455"/>
      <c r="V455"/>
      <c r="W455">
        <v>18</v>
      </c>
    </row>
    <row r="456" spans="1:23">
      <c r="A456"/>
      <c r="B456" t="s">
        <v>92</v>
      </c>
      <c r="C456" t="s">
        <v>92</v>
      </c>
      <c r="D456" t="s">
        <v>33</v>
      </c>
      <c r="E456" t="s">
        <v>34</v>
      </c>
      <c r="F456" t="str">
        <f>"0016999"</f>
        <v>0016999</v>
      </c>
      <c r="G456">
        <v>6</v>
      </c>
      <c r="H456" t="str">
        <f>"20608473174"</f>
        <v>20608473174</v>
      </c>
      <c r="I456" t="s">
        <v>59</v>
      </c>
      <c r="J456"/>
      <c r="K456">
        <v>42.37</v>
      </c>
      <c r="L456">
        <v>0.0</v>
      </c>
      <c r="M456"/>
      <c r="N456"/>
      <c r="O456">
        <v>7.63</v>
      </c>
      <c r="P456">
        <v>0.0</v>
      </c>
      <c r="Q456">
        <v>50.0</v>
      </c>
      <c r="R456"/>
      <c r="S456"/>
      <c r="T456"/>
      <c r="U456"/>
      <c r="V456"/>
      <c r="W456">
        <v>18</v>
      </c>
    </row>
    <row r="457" spans="1:23">
      <c r="A457"/>
      <c r="B457" t="s">
        <v>92</v>
      </c>
      <c r="C457" t="s">
        <v>92</v>
      </c>
      <c r="D457" t="s">
        <v>33</v>
      </c>
      <c r="E457" t="s">
        <v>34</v>
      </c>
      <c r="F457" t="str">
        <f>"0017000"</f>
        <v>0017000</v>
      </c>
      <c r="G457">
        <v>1</v>
      </c>
      <c r="H457" t="str">
        <f>"00000001"</f>
        <v>00000001</v>
      </c>
      <c r="I457" t="s">
        <v>35</v>
      </c>
      <c r="J457"/>
      <c r="K457">
        <v>42.37</v>
      </c>
      <c r="L457">
        <v>0.0</v>
      </c>
      <c r="M457"/>
      <c r="N457"/>
      <c r="O457">
        <v>7.63</v>
      </c>
      <c r="P457">
        <v>0.0</v>
      </c>
      <c r="Q457">
        <v>50.0</v>
      </c>
      <c r="R457"/>
      <c r="S457"/>
      <c r="T457"/>
      <c r="U457"/>
      <c r="V457"/>
      <c r="W457">
        <v>18</v>
      </c>
    </row>
    <row r="458" spans="1:23">
      <c r="A458"/>
      <c r="B458" t="s">
        <v>92</v>
      </c>
      <c r="C458" t="s">
        <v>92</v>
      </c>
      <c r="D458" t="s">
        <v>33</v>
      </c>
      <c r="E458" t="s">
        <v>34</v>
      </c>
      <c r="F458" t="str">
        <f>"0017001"</f>
        <v>0017001</v>
      </c>
      <c r="G458">
        <v>6</v>
      </c>
      <c r="H458" t="str">
        <f>"20613586416"</f>
        <v>20613586416</v>
      </c>
      <c r="I458" t="s">
        <v>94</v>
      </c>
      <c r="J458"/>
      <c r="K458">
        <v>3813.56</v>
      </c>
      <c r="L458">
        <v>0.0</v>
      </c>
      <c r="M458"/>
      <c r="N458"/>
      <c r="O458">
        <v>686.44</v>
      </c>
      <c r="P458">
        <v>0.0</v>
      </c>
      <c r="Q458">
        <v>4500.0</v>
      </c>
      <c r="R458"/>
      <c r="S458"/>
      <c r="T458"/>
      <c r="U458"/>
      <c r="V458"/>
      <c r="W458">
        <v>18</v>
      </c>
    </row>
    <row r="459" spans="1:23">
      <c r="A459"/>
      <c r="B459" t="s">
        <v>92</v>
      </c>
      <c r="C459" t="s">
        <v>92</v>
      </c>
      <c r="D459" t="s">
        <v>33</v>
      </c>
      <c r="E459" t="s">
        <v>34</v>
      </c>
      <c r="F459" t="str">
        <f>"0017002"</f>
        <v>0017002</v>
      </c>
      <c r="G459">
        <v>6</v>
      </c>
      <c r="H459" t="str">
        <f>"20608473174"</f>
        <v>20608473174</v>
      </c>
      <c r="I459" t="s">
        <v>59</v>
      </c>
      <c r="J459"/>
      <c r="K459">
        <v>40.68</v>
      </c>
      <c r="L459">
        <v>0.0</v>
      </c>
      <c r="M459"/>
      <c r="N459"/>
      <c r="O459">
        <v>7.32</v>
      </c>
      <c r="P459">
        <v>0.0</v>
      </c>
      <c r="Q459">
        <v>48.0</v>
      </c>
      <c r="R459"/>
      <c r="S459"/>
      <c r="T459"/>
      <c r="U459"/>
      <c r="V459"/>
      <c r="W459">
        <v>18</v>
      </c>
    </row>
    <row r="460" spans="1:23">
      <c r="A460"/>
      <c r="B460" t="s">
        <v>92</v>
      </c>
      <c r="C460" t="s">
        <v>92</v>
      </c>
      <c r="D460" t="s">
        <v>33</v>
      </c>
      <c r="E460" t="s">
        <v>34</v>
      </c>
      <c r="F460" t="str">
        <f>"0017003"</f>
        <v>0017003</v>
      </c>
      <c r="G460">
        <v>6</v>
      </c>
      <c r="H460" t="str">
        <f>"20608473174"</f>
        <v>20608473174</v>
      </c>
      <c r="I460" t="s">
        <v>59</v>
      </c>
      <c r="J460"/>
      <c r="K460">
        <v>30.42</v>
      </c>
      <c r="L460">
        <v>0.0</v>
      </c>
      <c r="M460"/>
      <c r="N460"/>
      <c r="O460">
        <v>5.48</v>
      </c>
      <c r="P460">
        <v>0.0</v>
      </c>
      <c r="Q460">
        <v>35.9</v>
      </c>
      <c r="R460"/>
      <c r="S460"/>
      <c r="T460"/>
      <c r="U460"/>
      <c r="V460"/>
      <c r="W460">
        <v>18</v>
      </c>
    </row>
    <row r="461" spans="1:23">
      <c r="A461"/>
      <c r="B461" t="s">
        <v>92</v>
      </c>
      <c r="C461" t="s">
        <v>92</v>
      </c>
      <c r="D461" t="s">
        <v>33</v>
      </c>
      <c r="E461" t="s">
        <v>34</v>
      </c>
      <c r="F461" t="str">
        <f>"0017004"</f>
        <v>0017004</v>
      </c>
      <c r="G461">
        <v>6</v>
      </c>
      <c r="H461" t="str">
        <f>"20608473174"</f>
        <v>20608473174</v>
      </c>
      <c r="I461" t="s">
        <v>59</v>
      </c>
      <c r="J461"/>
      <c r="K461">
        <v>42.37</v>
      </c>
      <c r="L461">
        <v>0.0</v>
      </c>
      <c r="M461"/>
      <c r="N461"/>
      <c r="O461">
        <v>7.63</v>
      </c>
      <c r="P461">
        <v>0.0</v>
      </c>
      <c r="Q461">
        <v>50.0</v>
      </c>
      <c r="R461"/>
      <c r="S461"/>
      <c r="T461"/>
      <c r="U461"/>
      <c r="V461"/>
      <c r="W461">
        <v>18</v>
      </c>
    </row>
    <row r="462" spans="1:23">
      <c r="A462"/>
      <c r="B462" t="s">
        <v>92</v>
      </c>
      <c r="C462" t="s">
        <v>92</v>
      </c>
      <c r="D462" t="s">
        <v>33</v>
      </c>
      <c r="E462" t="s">
        <v>34</v>
      </c>
      <c r="F462" t="str">
        <f>"0017005"</f>
        <v>0017005</v>
      </c>
      <c r="G462">
        <v>6</v>
      </c>
      <c r="H462" t="str">
        <f>"20608473174"</f>
        <v>20608473174</v>
      </c>
      <c r="I462" t="s">
        <v>59</v>
      </c>
      <c r="J462"/>
      <c r="K462">
        <v>5.08</v>
      </c>
      <c r="L462">
        <v>0.0</v>
      </c>
      <c r="M462"/>
      <c r="N462"/>
      <c r="O462">
        <v>0.92</v>
      </c>
      <c r="P462">
        <v>0.0</v>
      </c>
      <c r="Q462">
        <v>6.0</v>
      </c>
      <c r="R462"/>
      <c r="S462"/>
      <c r="T462"/>
      <c r="U462"/>
      <c r="V462"/>
      <c r="W462">
        <v>18</v>
      </c>
    </row>
    <row r="463" spans="1:23">
      <c r="A463"/>
      <c r="B463" t="s">
        <v>92</v>
      </c>
      <c r="C463" t="s">
        <v>92</v>
      </c>
      <c r="D463" t="s">
        <v>33</v>
      </c>
      <c r="E463" t="s">
        <v>34</v>
      </c>
      <c r="F463" t="str">
        <f>"0017006"</f>
        <v>0017006</v>
      </c>
      <c r="G463">
        <v>6</v>
      </c>
      <c r="H463" t="str">
        <f>"20610600787"</f>
        <v>20610600787</v>
      </c>
      <c r="I463" t="s">
        <v>55</v>
      </c>
      <c r="J463"/>
      <c r="K463">
        <v>42.37</v>
      </c>
      <c r="L463">
        <v>0.0</v>
      </c>
      <c r="M463"/>
      <c r="N463"/>
      <c r="O463">
        <v>7.63</v>
      </c>
      <c r="P463">
        <v>0.0</v>
      </c>
      <c r="Q463">
        <v>50.0</v>
      </c>
      <c r="R463"/>
      <c r="S463"/>
      <c r="T463"/>
      <c r="U463"/>
      <c r="V463"/>
      <c r="W463">
        <v>18</v>
      </c>
    </row>
    <row r="464" spans="1:23">
      <c r="A464"/>
      <c r="B464" t="s">
        <v>92</v>
      </c>
      <c r="C464" t="s">
        <v>92</v>
      </c>
      <c r="D464" t="s">
        <v>33</v>
      </c>
      <c r="E464" t="s">
        <v>34</v>
      </c>
      <c r="F464" t="str">
        <f>"0017007"</f>
        <v>0017007</v>
      </c>
      <c r="G464">
        <v>6</v>
      </c>
      <c r="H464" t="str">
        <f>"20610600787"</f>
        <v>20610600787</v>
      </c>
      <c r="I464" t="s">
        <v>55</v>
      </c>
      <c r="J464"/>
      <c r="K464">
        <v>42.37</v>
      </c>
      <c r="L464">
        <v>0.0</v>
      </c>
      <c r="M464"/>
      <c r="N464"/>
      <c r="O464">
        <v>7.63</v>
      </c>
      <c r="P464">
        <v>0.0</v>
      </c>
      <c r="Q464">
        <v>50.0</v>
      </c>
      <c r="R464"/>
      <c r="S464"/>
      <c r="T464"/>
      <c r="U464"/>
      <c r="V464"/>
      <c r="W464">
        <v>18</v>
      </c>
    </row>
    <row r="465" spans="1:23">
      <c r="A465"/>
      <c r="B465" t="s">
        <v>92</v>
      </c>
      <c r="C465" t="s">
        <v>92</v>
      </c>
      <c r="D465" t="s">
        <v>36</v>
      </c>
      <c r="E465" t="s">
        <v>37</v>
      </c>
      <c r="F465" t="str">
        <f>"0001380"</f>
        <v>0001380</v>
      </c>
      <c r="G465">
        <v>6</v>
      </c>
      <c r="H465" t="str">
        <f>"20101298851"</f>
        <v>20101298851</v>
      </c>
      <c r="I465" t="s">
        <v>42</v>
      </c>
      <c r="J465"/>
      <c r="K465">
        <v>46.61</v>
      </c>
      <c r="L465">
        <v>0.0</v>
      </c>
      <c r="M465"/>
      <c r="N465"/>
      <c r="O465">
        <v>8.39</v>
      </c>
      <c r="P465">
        <v>0.0</v>
      </c>
      <c r="Q465">
        <v>55.0</v>
      </c>
      <c r="R465"/>
      <c r="S465"/>
      <c r="T465"/>
      <c r="U465"/>
      <c r="V465"/>
      <c r="W465">
        <v>18</v>
      </c>
    </row>
    <row r="466" spans="1:23">
      <c r="A466"/>
      <c r="B466" t="s">
        <v>95</v>
      </c>
      <c r="C466" t="s">
        <v>95</v>
      </c>
      <c r="D466" t="s">
        <v>33</v>
      </c>
      <c r="E466" t="s">
        <v>34</v>
      </c>
      <c r="F466" t="str">
        <f>"0017008"</f>
        <v>0017008</v>
      </c>
      <c r="G466">
        <v>1</v>
      </c>
      <c r="H466" t="str">
        <f>"5G000000"</f>
        <v>5G000000</v>
      </c>
      <c r="I466" t="s">
        <v>96</v>
      </c>
      <c r="J466"/>
      <c r="K466">
        <v>26.69</v>
      </c>
      <c r="L466">
        <v>0.0</v>
      </c>
      <c r="M466"/>
      <c r="N466"/>
      <c r="O466">
        <v>4.81</v>
      </c>
      <c r="P466">
        <v>0.0</v>
      </c>
      <c r="Q466">
        <v>31.5</v>
      </c>
      <c r="R466"/>
      <c r="S466"/>
      <c r="T466"/>
      <c r="U466"/>
      <c r="V466"/>
      <c r="W466">
        <v>18</v>
      </c>
    </row>
    <row r="467" spans="1:23">
      <c r="A467"/>
      <c r="B467" t="s">
        <v>95</v>
      </c>
      <c r="C467" t="s">
        <v>95</v>
      </c>
      <c r="D467" t="s">
        <v>33</v>
      </c>
      <c r="E467" t="s">
        <v>34</v>
      </c>
      <c r="F467" t="str">
        <f>"0017009"</f>
        <v>0017009</v>
      </c>
      <c r="G467">
        <v>1</v>
      </c>
      <c r="H467" t="str">
        <f>"00000001"</f>
        <v>00000001</v>
      </c>
      <c r="I467" t="s">
        <v>35</v>
      </c>
      <c r="J467"/>
      <c r="K467">
        <v>6.78</v>
      </c>
      <c r="L467">
        <v>0.0</v>
      </c>
      <c r="M467"/>
      <c r="N467"/>
      <c r="O467">
        <v>1.22</v>
      </c>
      <c r="P467">
        <v>0.0</v>
      </c>
      <c r="Q467">
        <v>8.0</v>
      </c>
      <c r="R467"/>
      <c r="S467"/>
      <c r="T467"/>
      <c r="U467"/>
      <c r="V467"/>
      <c r="W467">
        <v>18</v>
      </c>
    </row>
    <row r="468" spans="1:23">
      <c r="A468"/>
      <c r="B468" t="s">
        <v>95</v>
      </c>
      <c r="C468" t="s">
        <v>95</v>
      </c>
      <c r="D468" t="s">
        <v>33</v>
      </c>
      <c r="E468" t="s">
        <v>34</v>
      </c>
      <c r="F468" t="str">
        <f>"0017010"</f>
        <v>0017010</v>
      </c>
      <c r="G468">
        <v>1</v>
      </c>
      <c r="H468" t="str">
        <f>"00000001"</f>
        <v>00000001</v>
      </c>
      <c r="I468" t="s">
        <v>35</v>
      </c>
      <c r="J468"/>
      <c r="K468">
        <v>35.59</v>
      </c>
      <c r="L468">
        <v>0.0</v>
      </c>
      <c r="M468"/>
      <c r="N468"/>
      <c r="O468">
        <v>6.41</v>
      </c>
      <c r="P468">
        <v>0.0</v>
      </c>
      <c r="Q468">
        <v>42.0</v>
      </c>
      <c r="R468"/>
      <c r="S468"/>
      <c r="T468"/>
      <c r="U468"/>
      <c r="V468"/>
      <c r="W468">
        <v>18</v>
      </c>
    </row>
    <row r="469" spans="1:23">
      <c r="A469"/>
      <c r="B469" t="s">
        <v>95</v>
      </c>
      <c r="C469" t="s">
        <v>95</v>
      </c>
      <c r="D469" t="s">
        <v>33</v>
      </c>
      <c r="E469" t="s">
        <v>34</v>
      </c>
      <c r="F469" t="str">
        <f>"0017011"</f>
        <v>0017011</v>
      </c>
      <c r="G469">
        <v>1</v>
      </c>
      <c r="H469" t="str">
        <f>"00000001"</f>
        <v>00000001</v>
      </c>
      <c r="I469" t="s">
        <v>35</v>
      </c>
      <c r="J469"/>
      <c r="K469">
        <v>10.17</v>
      </c>
      <c r="L469">
        <v>0.0</v>
      </c>
      <c r="M469"/>
      <c r="N469"/>
      <c r="O469">
        <v>1.83</v>
      </c>
      <c r="P469">
        <v>0.0</v>
      </c>
      <c r="Q469">
        <v>12.0</v>
      </c>
      <c r="R469"/>
      <c r="S469"/>
      <c r="T469"/>
      <c r="U469"/>
      <c r="V469"/>
      <c r="W469">
        <v>18</v>
      </c>
    </row>
    <row r="470" spans="1:23">
      <c r="A470"/>
      <c r="B470" t="s">
        <v>95</v>
      </c>
      <c r="C470" t="s">
        <v>95</v>
      </c>
      <c r="D470" t="s">
        <v>33</v>
      </c>
      <c r="E470" t="s">
        <v>34</v>
      </c>
      <c r="F470" t="str">
        <f>"0017012"</f>
        <v>0017012</v>
      </c>
      <c r="G470">
        <v>1</v>
      </c>
      <c r="H470" t="str">
        <f>"75833142"</f>
        <v>75833142</v>
      </c>
      <c r="I470" t="s">
        <v>97</v>
      </c>
      <c r="J470"/>
      <c r="K470">
        <v>4.24</v>
      </c>
      <c r="L470">
        <v>0.0</v>
      </c>
      <c r="M470"/>
      <c r="N470"/>
      <c r="O470">
        <v>0.76</v>
      </c>
      <c r="P470">
        <v>0.0</v>
      </c>
      <c r="Q470">
        <v>5.0</v>
      </c>
      <c r="R470"/>
      <c r="S470"/>
      <c r="T470"/>
      <c r="U470"/>
      <c r="V470"/>
      <c r="W470">
        <v>18</v>
      </c>
    </row>
    <row r="471" spans="1:23">
      <c r="A471"/>
      <c r="B471" t="s">
        <v>95</v>
      </c>
      <c r="C471" t="s">
        <v>95</v>
      </c>
      <c r="D471" t="s">
        <v>33</v>
      </c>
      <c r="E471" t="s">
        <v>34</v>
      </c>
      <c r="F471" t="str">
        <f>"0017013"</f>
        <v>0017013</v>
      </c>
      <c r="G471">
        <v>1</v>
      </c>
      <c r="H471" t="str">
        <f>"00000001"</f>
        <v>00000001</v>
      </c>
      <c r="I471" t="s">
        <v>35</v>
      </c>
      <c r="J471"/>
      <c r="K471">
        <v>63.14</v>
      </c>
      <c r="L471">
        <v>0.0</v>
      </c>
      <c r="M471"/>
      <c r="N471"/>
      <c r="O471">
        <v>11.36</v>
      </c>
      <c r="P471">
        <v>0.0</v>
      </c>
      <c r="Q471">
        <v>74.5</v>
      </c>
      <c r="R471"/>
      <c r="S471"/>
      <c r="T471"/>
      <c r="U471"/>
      <c r="V471"/>
      <c r="W471">
        <v>18</v>
      </c>
    </row>
    <row r="472" spans="1:23">
      <c r="A472"/>
      <c r="B472" t="s">
        <v>95</v>
      </c>
      <c r="C472" t="s">
        <v>95</v>
      </c>
      <c r="D472" t="s">
        <v>33</v>
      </c>
      <c r="E472" t="s">
        <v>34</v>
      </c>
      <c r="F472" t="str">
        <f>"0017014"</f>
        <v>0017014</v>
      </c>
      <c r="G472">
        <v>1</v>
      </c>
      <c r="H472" t="str">
        <f>"00000001"</f>
        <v>00000001</v>
      </c>
      <c r="I472" t="s">
        <v>35</v>
      </c>
      <c r="J472"/>
      <c r="K472">
        <v>50.85</v>
      </c>
      <c r="L472">
        <v>0.0</v>
      </c>
      <c r="M472"/>
      <c r="N472"/>
      <c r="O472">
        <v>9.15</v>
      </c>
      <c r="P472">
        <v>0.0</v>
      </c>
      <c r="Q472">
        <v>60.0</v>
      </c>
      <c r="R472"/>
      <c r="S472"/>
      <c r="T472"/>
      <c r="U472"/>
      <c r="V472"/>
      <c r="W472">
        <v>18</v>
      </c>
    </row>
    <row r="473" spans="1:23">
      <c r="A473"/>
      <c r="B473" t="s">
        <v>95</v>
      </c>
      <c r="C473" t="s">
        <v>95</v>
      </c>
      <c r="D473" t="s">
        <v>33</v>
      </c>
      <c r="E473" t="s">
        <v>34</v>
      </c>
      <c r="F473" t="str">
        <f>"0017015"</f>
        <v>0017015</v>
      </c>
      <c r="G473">
        <v>1</v>
      </c>
      <c r="H473" t="str">
        <f>"00000001"</f>
        <v>00000001</v>
      </c>
      <c r="I473" t="s">
        <v>35</v>
      </c>
      <c r="J473"/>
      <c r="K473">
        <v>19.49</v>
      </c>
      <c r="L473">
        <v>0.0</v>
      </c>
      <c r="M473"/>
      <c r="N473"/>
      <c r="O473">
        <v>3.51</v>
      </c>
      <c r="P473">
        <v>0.0</v>
      </c>
      <c r="Q473">
        <v>23.0</v>
      </c>
      <c r="R473"/>
      <c r="S473"/>
      <c r="T473"/>
      <c r="U473"/>
      <c r="V473"/>
      <c r="W473">
        <v>18</v>
      </c>
    </row>
    <row r="474" spans="1:23">
      <c r="A474"/>
      <c r="B474" t="s">
        <v>95</v>
      </c>
      <c r="C474" t="s">
        <v>95</v>
      </c>
      <c r="D474" t="s">
        <v>33</v>
      </c>
      <c r="E474" t="s">
        <v>34</v>
      </c>
      <c r="F474" t="str">
        <f>"0017016"</f>
        <v>0017016</v>
      </c>
      <c r="G474">
        <v>1</v>
      </c>
      <c r="H474" t="str">
        <f>"00000001"</f>
        <v>00000001</v>
      </c>
      <c r="I474" t="s">
        <v>35</v>
      </c>
      <c r="J474"/>
      <c r="K474">
        <v>35.59</v>
      </c>
      <c r="L474">
        <v>0.0</v>
      </c>
      <c r="M474"/>
      <c r="N474"/>
      <c r="O474">
        <v>6.41</v>
      </c>
      <c r="P474">
        <v>0.0</v>
      </c>
      <c r="Q474">
        <v>42.0</v>
      </c>
      <c r="R474"/>
      <c r="S474"/>
      <c r="T474"/>
      <c r="U474"/>
      <c r="V474"/>
      <c r="W474">
        <v>18</v>
      </c>
    </row>
    <row r="475" spans="1:23">
      <c r="A475"/>
      <c r="B475" t="s">
        <v>95</v>
      </c>
      <c r="C475" t="s">
        <v>95</v>
      </c>
      <c r="D475" t="s">
        <v>33</v>
      </c>
      <c r="E475" t="s">
        <v>34</v>
      </c>
      <c r="F475" t="str">
        <f>"0017017"</f>
        <v>0017017</v>
      </c>
      <c r="G475">
        <v>1</v>
      </c>
      <c r="H475" t="str">
        <f>"00000001"</f>
        <v>00000001</v>
      </c>
      <c r="I475" t="s">
        <v>35</v>
      </c>
      <c r="J475"/>
      <c r="K475">
        <v>13.98</v>
      </c>
      <c r="L475">
        <v>0.0</v>
      </c>
      <c r="M475"/>
      <c r="N475"/>
      <c r="O475">
        <v>2.52</v>
      </c>
      <c r="P475">
        <v>0.0</v>
      </c>
      <c r="Q475">
        <v>16.5</v>
      </c>
      <c r="R475"/>
      <c r="S475"/>
      <c r="T475"/>
      <c r="U475"/>
      <c r="V475"/>
      <c r="W475">
        <v>18</v>
      </c>
    </row>
    <row r="476" spans="1:23">
      <c r="A476"/>
      <c r="B476" t="s">
        <v>95</v>
      </c>
      <c r="C476" t="s">
        <v>95</v>
      </c>
      <c r="D476" t="s">
        <v>33</v>
      </c>
      <c r="E476" t="s">
        <v>34</v>
      </c>
      <c r="F476" t="str">
        <f>"0017018"</f>
        <v>0017018</v>
      </c>
      <c r="G476">
        <v>1</v>
      </c>
      <c r="H476" t="str">
        <f>"00000001"</f>
        <v>00000001</v>
      </c>
      <c r="I476" t="s">
        <v>35</v>
      </c>
      <c r="J476"/>
      <c r="K476">
        <v>20.34</v>
      </c>
      <c r="L476">
        <v>0.0</v>
      </c>
      <c r="M476"/>
      <c r="N476"/>
      <c r="O476">
        <v>3.66</v>
      </c>
      <c r="P476">
        <v>0.0</v>
      </c>
      <c r="Q476">
        <v>24.0</v>
      </c>
      <c r="R476"/>
      <c r="S476"/>
      <c r="T476"/>
      <c r="U476"/>
      <c r="V476"/>
      <c r="W476">
        <v>18</v>
      </c>
    </row>
    <row r="477" spans="1:23">
      <c r="A477"/>
      <c r="B477" t="s">
        <v>95</v>
      </c>
      <c r="C477" t="s">
        <v>95</v>
      </c>
      <c r="D477" t="s">
        <v>33</v>
      </c>
      <c r="E477" t="s">
        <v>34</v>
      </c>
      <c r="F477" t="str">
        <f>"0017019"</f>
        <v>0017019</v>
      </c>
      <c r="G477">
        <v>1</v>
      </c>
      <c r="H477" t="str">
        <f>"00000001"</f>
        <v>00000001</v>
      </c>
      <c r="I477" t="s">
        <v>35</v>
      </c>
      <c r="J477"/>
      <c r="K477">
        <v>28.81</v>
      </c>
      <c r="L477">
        <v>0.0</v>
      </c>
      <c r="M477"/>
      <c r="N477"/>
      <c r="O477">
        <v>5.19</v>
      </c>
      <c r="P477">
        <v>0.0</v>
      </c>
      <c r="Q477">
        <v>34.0</v>
      </c>
      <c r="R477"/>
      <c r="S477"/>
      <c r="T477"/>
      <c r="U477"/>
      <c r="V477"/>
      <c r="W477">
        <v>18</v>
      </c>
    </row>
    <row r="478" spans="1:23">
      <c r="A478"/>
      <c r="B478" t="s">
        <v>95</v>
      </c>
      <c r="C478" t="s">
        <v>95</v>
      </c>
      <c r="D478" t="s">
        <v>33</v>
      </c>
      <c r="E478" t="s">
        <v>34</v>
      </c>
      <c r="F478" t="str">
        <f>"0017020"</f>
        <v>0017020</v>
      </c>
      <c r="G478">
        <v>1</v>
      </c>
      <c r="H478" t="str">
        <f>"00000001"</f>
        <v>00000001</v>
      </c>
      <c r="I478" t="s">
        <v>35</v>
      </c>
      <c r="J478"/>
      <c r="K478">
        <v>7.63</v>
      </c>
      <c r="L478">
        <v>0.0</v>
      </c>
      <c r="M478"/>
      <c r="N478"/>
      <c r="O478">
        <v>1.37</v>
      </c>
      <c r="P478">
        <v>0.0</v>
      </c>
      <c r="Q478">
        <v>9.0</v>
      </c>
      <c r="R478"/>
      <c r="S478"/>
      <c r="T478"/>
      <c r="U478"/>
      <c r="V478"/>
      <c r="W478">
        <v>18</v>
      </c>
    </row>
    <row r="479" spans="1:23">
      <c r="A479"/>
      <c r="B479" t="s">
        <v>95</v>
      </c>
      <c r="C479" t="s">
        <v>95</v>
      </c>
      <c r="D479" t="s">
        <v>33</v>
      </c>
      <c r="E479" t="s">
        <v>34</v>
      </c>
      <c r="F479" t="str">
        <f>"0017021"</f>
        <v>0017021</v>
      </c>
      <c r="G479">
        <v>1</v>
      </c>
      <c r="H479" t="str">
        <f>"00000001"</f>
        <v>00000001</v>
      </c>
      <c r="I479" t="s">
        <v>35</v>
      </c>
      <c r="J479"/>
      <c r="K479">
        <v>5.93</v>
      </c>
      <c r="L479">
        <v>0.0</v>
      </c>
      <c r="M479"/>
      <c r="N479"/>
      <c r="O479">
        <v>1.07</v>
      </c>
      <c r="P479">
        <v>0.0</v>
      </c>
      <c r="Q479">
        <v>7.0</v>
      </c>
      <c r="R479"/>
      <c r="S479"/>
      <c r="T479"/>
      <c r="U479"/>
      <c r="V479"/>
      <c r="W479">
        <v>18</v>
      </c>
    </row>
    <row r="480" spans="1:23">
      <c r="A480"/>
      <c r="B480" t="s">
        <v>95</v>
      </c>
      <c r="C480" t="s">
        <v>95</v>
      </c>
      <c r="D480" t="s">
        <v>33</v>
      </c>
      <c r="E480" t="s">
        <v>34</v>
      </c>
      <c r="F480" t="str">
        <f>"0017022"</f>
        <v>0017022</v>
      </c>
      <c r="G480">
        <v>1</v>
      </c>
      <c r="H480" t="str">
        <f>"00000001"</f>
        <v>00000001</v>
      </c>
      <c r="I480" t="s">
        <v>35</v>
      </c>
      <c r="J480"/>
      <c r="K480">
        <v>16.95</v>
      </c>
      <c r="L480">
        <v>0.0</v>
      </c>
      <c r="M480"/>
      <c r="N480"/>
      <c r="O480">
        <v>3.05</v>
      </c>
      <c r="P480">
        <v>0.0</v>
      </c>
      <c r="Q480">
        <v>20.0</v>
      </c>
      <c r="R480"/>
      <c r="S480"/>
      <c r="T480"/>
      <c r="U480"/>
      <c r="V480"/>
      <c r="W480">
        <v>18</v>
      </c>
    </row>
    <row r="481" spans="1:23">
      <c r="A481"/>
      <c r="B481" t="s">
        <v>95</v>
      </c>
      <c r="C481" t="s">
        <v>95</v>
      </c>
      <c r="D481" t="s">
        <v>33</v>
      </c>
      <c r="E481" t="s">
        <v>34</v>
      </c>
      <c r="F481" t="str">
        <f>"0017023"</f>
        <v>0017023</v>
      </c>
      <c r="G481">
        <v>1</v>
      </c>
      <c r="H481" t="str">
        <f>"00000001"</f>
        <v>00000001</v>
      </c>
      <c r="I481" t="s">
        <v>35</v>
      </c>
      <c r="J481"/>
      <c r="K481">
        <v>27.12</v>
      </c>
      <c r="L481">
        <v>0.0</v>
      </c>
      <c r="M481"/>
      <c r="N481"/>
      <c r="O481">
        <v>4.88</v>
      </c>
      <c r="P481">
        <v>0.0</v>
      </c>
      <c r="Q481">
        <v>32.0</v>
      </c>
      <c r="R481"/>
      <c r="S481"/>
      <c r="T481"/>
      <c r="U481"/>
      <c r="V481"/>
      <c r="W481">
        <v>18</v>
      </c>
    </row>
    <row r="482" spans="1:23">
      <c r="A482"/>
      <c r="B482" t="s">
        <v>95</v>
      </c>
      <c r="C482" t="s">
        <v>95</v>
      </c>
      <c r="D482" t="s">
        <v>33</v>
      </c>
      <c r="E482" t="s">
        <v>34</v>
      </c>
      <c r="F482" t="str">
        <f>"0017024"</f>
        <v>0017024</v>
      </c>
      <c r="G482">
        <v>1</v>
      </c>
      <c r="H482" t="str">
        <f>"00000001"</f>
        <v>00000001</v>
      </c>
      <c r="I482" t="s">
        <v>35</v>
      </c>
      <c r="J482"/>
      <c r="K482">
        <v>21.19</v>
      </c>
      <c r="L482">
        <v>0.0</v>
      </c>
      <c r="M482"/>
      <c r="N482"/>
      <c r="O482">
        <v>3.81</v>
      </c>
      <c r="P482">
        <v>0.0</v>
      </c>
      <c r="Q482">
        <v>25.0</v>
      </c>
      <c r="R482"/>
      <c r="S482"/>
      <c r="T482"/>
      <c r="U482"/>
      <c r="V482"/>
      <c r="W482">
        <v>18</v>
      </c>
    </row>
    <row r="483" spans="1:23">
      <c r="A483"/>
      <c r="B483" t="s">
        <v>95</v>
      </c>
      <c r="C483" t="s">
        <v>95</v>
      </c>
      <c r="D483" t="s">
        <v>33</v>
      </c>
      <c r="E483" t="s">
        <v>34</v>
      </c>
      <c r="F483" t="str">
        <f>"0017025"</f>
        <v>0017025</v>
      </c>
      <c r="G483">
        <v>1</v>
      </c>
      <c r="H483" t="str">
        <f>"00000001"</f>
        <v>00000001</v>
      </c>
      <c r="I483" t="s">
        <v>35</v>
      </c>
      <c r="J483"/>
      <c r="K483">
        <v>38.98</v>
      </c>
      <c r="L483">
        <v>0.0</v>
      </c>
      <c r="M483"/>
      <c r="N483"/>
      <c r="O483">
        <v>7.02</v>
      </c>
      <c r="P483">
        <v>0.0</v>
      </c>
      <c r="Q483">
        <v>46.0</v>
      </c>
      <c r="R483"/>
      <c r="S483"/>
      <c r="T483"/>
      <c r="U483"/>
      <c r="V483"/>
      <c r="W483">
        <v>18</v>
      </c>
    </row>
    <row r="484" spans="1:23">
      <c r="A484"/>
      <c r="B484" t="s">
        <v>95</v>
      </c>
      <c r="C484" t="s">
        <v>95</v>
      </c>
      <c r="D484" t="s">
        <v>33</v>
      </c>
      <c r="E484" t="s">
        <v>34</v>
      </c>
      <c r="F484" t="str">
        <f>"0017026"</f>
        <v>0017026</v>
      </c>
      <c r="G484">
        <v>1</v>
      </c>
      <c r="H484" t="str">
        <f>"00000001"</f>
        <v>00000001</v>
      </c>
      <c r="I484" t="s">
        <v>35</v>
      </c>
      <c r="J484"/>
      <c r="K484">
        <v>16.95</v>
      </c>
      <c r="L484">
        <v>0.0</v>
      </c>
      <c r="M484"/>
      <c r="N484"/>
      <c r="O484">
        <v>3.05</v>
      </c>
      <c r="P484">
        <v>0.0</v>
      </c>
      <c r="Q484">
        <v>20.0</v>
      </c>
      <c r="R484"/>
      <c r="S484"/>
      <c r="T484"/>
      <c r="U484"/>
      <c r="V484"/>
      <c r="W484">
        <v>18</v>
      </c>
    </row>
    <row r="485" spans="1:23">
      <c r="A485"/>
      <c r="B485" t="s">
        <v>95</v>
      </c>
      <c r="C485" t="s">
        <v>95</v>
      </c>
      <c r="D485" t="s">
        <v>33</v>
      </c>
      <c r="E485" t="s">
        <v>34</v>
      </c>
      <c r="F485" t="str">
        <f>"0017027"</f>
        <v>0017027</v>
      </c>
      <c r="G485">
        <v>1</v>
      </c>
      <c r="H485" t="str">
        <f>"00000001"</f>
        <v>00000001</v>
      </c>
      <c r="I485" t="s">
        <v>35</v>
      </c>
      <c r="J485"/>
      <c r="K485">
        <v>21.19</v>
      </c>
      <c r="L485">
        <v>0.0</v>
      </c>
      <c r="M485"/>
      <c r="N485"/>
      <c r="O485">
        <v>3.81</v>
      </c>
      <c r="P485">
        <v>0.0</v>
      </c>
      <c r="Q485">
        <v>25.0</v>
      </c>
      <c r="R485"/>
      <c r="S485"/>
      <c r="T485"/>
      <c r="U485"/>
      <c r="V485"/>
      <c r="W485">
        <v>18</v>
      </c>
    </row>
    <row r="486" spans="1:23">
      <c r="A486"/>
      <c r="B486" t="s">
        <v>95</v>
      </c>
      <c r="C486" t="s">
        <v>95</v>
      </c>
      <c r="D486" t="s">
        <v>33</v>
      </c>
      <c r="E486" t="s">
        <v>34</v>
      </c>
      <c r="F486" t="str">
        <f>"0017028"</f>
        <v>0017028</v>
      </c>
      <c r="G486">
        <v>1</v>
      </c>
      <c r="H486" t="str">
        <f>"00000001"</f>
        <v>00000001</v>
      </c>
      <c r="I486" t="s">
        <v>35</v>
      </c>
      <c r="J486"/>
      <c r="K486">
        <v>5.93</v>
      </c>
      <c r="L486">
        <v>0.0</v>
      </c>
      <c r="M486"/>
      <c r="N486"/>
      <c r="O486">
        <v>1.07</v>
      </c>
      <c r="P486">
        <v>0.0</v>
      </c>
      <c r="Q486">
        <v>7.0</v>
      </c>
      <c r="R486"/>
      <c r="S486"/>
      <c r="T486"/>
      <c r="U486"/>
      <c r="V486"/>
      <c r="W486">
        <v>18</v>
      </c>
    </row>
    <row r="487" spans="1:23">
      <c r="A487"/>
      <c r="B487" t="s">
        <v>95</v>
      </c>
      <c r="C487" t="s">
        <v>95</v>
      </c>
      <c r="D487" t="s">
        <v>33</v>
      </c>
      <c r="E487" t="s">
        <v>34</v>
      </c>
      <c r="F487" t="str">
        <f>"0017029"</f>
        <v>0017029</v>
      </c>
      <c r="G487">
        <v>1</v>
      </c>
      <c r="H487" t="str">
        <f>"00000001"</f>
        <v>00000001</v>
      </c>
      <c r="I487" t="s">
        <v>35</v>
      </c>
      <c r="J487"/>
      <c r="K487">
        <v>5.08</v>
      </c>
      <c r="L487">
        <v>0.0</v>
      </c>
      <c r="M487"/>
      <c r="N487"/>
      <c r="O487">
        <v>0.92</v>
      </c>
      <c r="P487">
        <v>0.0</v>
      </c>
      <c r="Q487">
        <v>6.0</v>
      </c>
      <c r="R487"/>
      <c r="S487"/>
      <c r="T487"/>
      <c r="U487"/>
      <c r="V487"/>
      <c r="W487">
        <v>18</v>
      </c>
    </row>
    <row r="488" spans="1:23">
      <c r="A488"/>
      <c r="B488" t="s">
        <v>95</v>
      </c>
      <c r="C488" t="s">
        <v>95</v>
      </c>
      <c r="D488" t="s">
        <v>33</v>
      </c>
      <c r="E488" t="s">
        <v>34</v>
      </c>
      <c r="F488" t="str">
        <f>"0017030"</f>
        <v>0017030</v>
      </c>
      <c r="G488">
        <v>1</v>
      </c>
      <c r="H488" t="str">
        <f>"00000001"</f>
        <v>00000001</v>
      </c>
      <c r="I488" t="s">
        <v>35</v>
      </c>
      <c r="J488"/>
      <c r="K488">
        <v>43.64</v>
      </c>
      <c r="L488">
        <v>0.0</v>
      </c>
      <c r="M488"/>
      <c r="N488"/>
      <c r="O488">
        <v>7.86</v>
      </c>
      <c r="P488">
        <v>0.0</v>
      </c>
      <c r="Q488">
        <v>51.5</v>
      </c>
      <c r="R488"/>
      <c r="S488"/>
      <c r="T488"/>
      <c r="U488"/>
      <c r="V488"/>
      <c r="W488">
        <v>18</v>
      </c>
    </row>
    <row r="489" spans="1:23">
      <c r="A489"/>
      <c r="B489" t="s">
        <v>98</v>
      </c>
      <c r="C489" t="s">
        <v>98</v>
      </c>
      <c r="D489" t="s">
        <v>33</v>
      </c>
      <c r="E489" t="s">
        <v>34</v>
      </c>
      <c r="F489" t="str">
        <f>"0017031"</f>
        <v>0017031</v>
      </c>
      <c r="G489">
        <v>1</v>
      </c>
      <c r="H489" t="str">
        <f>"00000001"</f>
        <v>00000001</v>
      </c>
      <c r="I489" t="s">
        <v>35</v>
      </c>
      <c r="J489"/>
      <c r="K489">
        <v>13.56</v>
      </c>
      <c r="L489">
        <v>0.0</v>
      </c>
      <c r="M489"/>
      <c r="N489"/>
      <c r="O489">
        <v>2.44</v>
      </c>
      <c r="P489">
        <v>0.0</v>
      </c>
      <c r="Q489">
        <v>16.0</v>
      </c>
      <c r="R489"/>
      <c r="S489"/>
      <c r="T489"/>
      <c r="U489"/>
      <c r="V489"/>
      <c r="W489">
        <v>18</v>
      </c>
    </row>
    <row r="490" spans="1:23">
      <c r="A490"/>
      <c r="B490" t="s">
        <v>98</v>
      </c>
      <c r="C490" t="s">
        <v>98</v>
      </c>
      <c r="D490" t="s">
        <v>33</v>
      </c>
      <c r="E490" t="s">
        <v>34</v>
      </c>
      <c r="F490" t="str">
        <f>"0017032"</f>
        <v>0017032</v>
      </c>
      <c r="G490">
        <v>1</v>
      </c>
      <c r="H490" t="str">
        <f>"00000001"</f>
        <v>00000001</v>
      </c>
      <c r="I490" t="s">
        <v>35</v>
      </c>
      <c r="J490"/>
      <c r="K490">
        <v>4.24</v>
      </c>
      <c r="L490">
        <v>0.0</v>
      </c>
      <c r="M490"/>
      <c r="N490"/>
      <c r="O490">
        <v>0.76</v>
      </c>
      <c r="P490">
        <v>0.0</v>
      </c>
      <c r="Q490">
        <v>5.0</v>
      </c>
      <c r="R490"/>
      <c r="S490"/>
      <c r="T490"/>
      <c r="U490"/>
      <c r="V490"/>
      <c r="W490">
        <v>18</v>
      </c>
    </row>
    <row r="491" spans="1:23">
      <c r="A491"/>
      <c r="B491" t="s">
        <v>98</v>
      </c>
      <c r="C491" t="s">
        <v>98</v>
      </c>
      <c r="D491" t="s">
        <v>33</v>
      </c>
      <c r="E491" t="s">
        <v>34</v>
      </c>
      <c r="F491" t="str">
        <f>"0017033"</f>
        <v>0017033</v>
      </c>
      <c r="G491">
        <v>6</v>
      </c>
      <c r="H491" t="str">
        <f>"20612701548"</f>
        <v>20612701548</v>
      </c>
      <c r="I491" t="s">
        <v>75</v>
      </c>
      <c r="J491"/>
      <c r="K491">
        <v>42.37</v>
      </c>
      <c r="L491">
        <v>0.0</v>
      </c>
      <c r="M491"/>
      <c r="N491"/>
      <c r="O491">
        <v>7.63</v>
      </c>
      <c r="P491">
        <v>0.0</v>
      </c>
      <c r="Q491">
        <v>50.0</v>
      </c>
      <c r="R491"/>
      <c r="S491"/>
      <c r="T491"/>
      <c r="U491"/>
      <c r="V491"/>
      <c r="W491">
        <v>18</v>
      </c>
    </row>
    <row r="492" spans="1:23">
      <c r="A492"/>
      <c r="B492" t="s">
        <v>98</v>
      </c>
      <c r="C492" t="s">
        <v>98</v>
      </c>
      <c r="D492" t="s">
        <v>36</v>
      </c>
      <c r="E492" t="s">
        <v>37</v>
      </c>
      <c r="F492" t="str">
        <f>"0001381"</f>
        <v>0001381</v>
      </c>
      <c r="G492">
        <v>6</v>
      </c>
      <c r="H492" t="str">
        <f>"20610897992"</f>
        <v>20610897992</v>
      </c>
      <c r="I492" t="s">
        <v>99</v>
      </c>
      <c r="J492"/>
      <c r="K492">
        <v>11.86</v>
      </c>
      <c r="L492">
        <v>0.0</v>
      </c>
      <c r="M492"/>
      <c r="N492"/>
      <c r="O492">
        <v>2.14</v>
      </c>
      <c r="P492">
        <v>0.0</v>
      </c>
      <c r="Q492">
        <v>14.0</v>
      </c>
      <c r="R492"/>
      <c r="S492"/>
      <c r="T492"/>
      <c r="U492"/>
      <c r="V492"/>
      <c r="W492">
        <v>18</v>
      </c>
    </row>
    <row r="493" spans="1:23">
      <c r="A493"/>
      <c r="B493" t="s">
        <v>98</v>
      </c>
      <c r="C493" t="s">
        <v>98</v>
      </c>
      <c r="D493" t="s">
        <v>36</v>
      </c>
      <c r="E493" t="s">
        <v>37</v>
      </c>
      <c r="F493" t="str">
        <f>"0001382"</f>
        <v>0001382</v>
      </c>
      <c r="G493">
        <v>6</v>
      </c>
      <c r="H493" t="str">
        <f>"20101298851"</f>
        <v>20101298851</v>
      </c>
      <c r="I493" t="s">
        <v>42</v>
      </c>
      <c r="J493"/>
      <c r="K493">
        <v>20.34</v>
      </c>
      <c r="L493">
        <v>0.0</v>
      </c>
      <c r="M493"/>
      <c r="N493"/>
      <c r="O493">
        <v>3.66</v>
      </c>
      <c r="P493">
        <v>0.0</v>
      </c>
      <c r="Q493">
        <v>24.0</v>
      </c>
      <c r="R493"/>
      <c r="S493"/>
      <c r="T493"/>
      <c r="U493"/>
      <c r="V493"/>
      <c r="W493">
        <v>18</v>
      </c>
    </row>
    <row r="494" spans="1:23">
      <c r="A494"/>
      <c r="B494" t="s">
        <v>98</v>
      </c>
      <c r="C494" t="s">
        <v>98</v>
      </c>
      <c r="D494" t="s">
        <v>33</v>
      </c>
      <c r="E494" t="s">
        <v>34</v>
      </c>
      <c r="F494" t="str">
        <f>"0017034"</f>
        <v>0017034</v>
      </c>
      <c r="G494">
        <v>1</v>
      </c>
      <c r="H494" t="str">
        <f>"00000001"</f>
        <v>00000001</v>
      </c>
      <c r="I494" t="s">
        <v>35</v>
      </c>
      <c r="J494"/>
      <c r="K494">
        <v>157.63</v>
      </c>
      <c r="L494">
        <v>0.0</v>
      </c>
      <c r="M494"/>
      <c r="N494"/>
      <c r="O494">
        <v>28.37</v>
      </c>
      <c r="P494">
        <v>0.0</v>
      </c>
      <c r="Q494">
        <v>186.0</v>
      </c>
      <c r="R494"/>
      <c r="S494"/>
      <c r="T494"/>
      <c r="U494"/>
      <c r="V494"/>
      <c r="W494">
        <v>18</v>
      </c>
    </row>
    <row r="495" spans="1:23">
      <c r="A495"/>
      <c r="B495" t="s">
        <v>98</v>
      </c>
      <c r="C495" t="s">
        <v>98</v>
      </c>
      <c r="D495" t="s">
        <v>33</v>
      </c>
      <c r="E495" t="s">
        <v>34</v>
      </c>
      <c r="F495" t="str">
        <f>"0017035"</f>
        <v>0017035</v>
      </c>
      <c r="G495">
        <v>1</v>
      </c>
      <c r="H495" t="str">
        <f>"00000001"</f>
        <v>00000001</v>
      </c>
      <c r="I495" t="s">
        <v>35</v>
      </c>
      <c r="J495"/>
      <c r="K495">
        <v>21.19</v>
      </c>
      <c r="L495">
        <v>0.0</v>
      </c>
      <c r="M495"/>
      <c r="N495"/>
      <c r="O495">
        <v>3.81</v>
      </c>
      <c r="P495">
        <v>0.0</v>
      </c>
      <c r="Q495">
        <v>25.0</v>
      </c>
      <c r="R495"/>
      <c r="S495"/>
      <c r="T495"/>
      <c r="U495"/>
      <c r="V495"/>
      <c r="W495">
        <v>18</v>
      </c>
    </row>
    <row r="496" spans="1:23">
      <c r="A496"/>
      <c r="B496" t="s">
        <v>98</v>
      </c>
      <c r="C496" t="s">
        <v>98</v>
      </c>
      <c r="D496" t="s">
        <v>33</v>
      </c>
      <c r="E496" t="s">
        <v>34</v>
      </c>
      <c r="F496" t="str">
        <f>"0017036"</f>
        <v>0017036</v>
      </c>
      <c r="G496">
        <v>1</v>
      </c>
      <c r="H496" t="str">
        <f>"00000001"</f>
        <v>00000001</v>
      </c>
      <c r="I496" t="s">
        <v>35</v>
      </c>
      <c r="J496"/>
      <c r="K496">
        <v>42.37</v>
      </c>
      <c r="L496">
        <v>0.0</v>
      </c>
      <c r="M496"/>
      <c r="N496"/>
      <c r="O496">
        <v>7.63</v>
      </c>
      <c r="P496">
        <v>0.0</v>
      </c>
      <c r="Q496">
        <v>50.0</v>
      </c>
      <c r="R496"/>
      <c r="S496"/>
      <c r="T496"/>
      <c r="U496"/>
      <c r="V496"/>
      <c r="W496">
        <v>18</v>
      </c>
    </row>
    <row r="497" spans="1:23">
      <c r="A497"/>
      <c r="B497" t="s">
        <v>98</v>
      </c>
      <c r="C497" t="s">
        <v>98</v>
      </c>
      <c r="D497" t="s">
        <v>33</v>
      </c>
      <c r="E497" t="s">
        <v>34</v>
      </c>
      <c r="F497" t="str">
        <f>"0017037"</f>
        <v>0017037</v>
      </c>
      <c r="G497">
        <v>1</v>
      </c>
      <c r="H497" t="str">
        <f>"00000001"</f>
        <v>00000001</v>
      </c>
      <c r="I497" t="s">
        <v>35</v>
      </c>
      <c r="J497"/>
      <c r="K497">
        <v>10.17</v>
      </c>
      <c r="L497">
        <v>0.0</v>
      </c>
      <c r="M497"/>
      <c r="N497"/>
      <c r="O497">
        <v>1.83</v>
      </c>
      <c r="P497">
        <v>0.0</v>
      </c>
      <c r="Q497">
        <v>12.0</v>
      </c>
      <c r="R497"/>
      <c r="S497"/>
      <c r="T497"/>
      <c r="U497"/>
      <c r="V497"/>
      <c r="W497">
        <v>18</v>
      </c>
    </row>
    <row r="498" spans="1:23">
      <c r="A498"/>
      <c r="B498" t="s">
        <v>98</v>
      </c>
      <c r="C498" t="s">
        <v>98</v>
      </c>
      <c r="D498" t="s">
        <v>33</v>
      </c>
      <c r="E498" t="s">
        <v>34</v>
      </c>
      <c r="F498" t="str">
        <f>"0017038"</f>
        <v>0017038</v>
      </c>
      <c r="G498">
        <v>1</v>
      </c>
      <c r="H498" t="str">
        <f>"00000001"</f>
        <v>00000001</v>
      </c>
      <c r="I498" t="s">
        <v>35</v>
      </c>
      <c r="J498"/>
      <c r="K498">
        <v>46.61</v>
      </c>
      <c r="L498">
        <v>0.0</v>
      </c>
      <c r="M498"/>
      <c r="N498"/>
      <c r="O498">
        <v>8.39</v>
      </c>
      <c r="P498">
        <v>0.0</v>
      </c>
      <c r="Q498">
        <v>55.0</v>
      </c>
      <c r="R498"/>
      <c r="S498"/>
      <c r="T498"/>
      <c r="U498"/>
      <c r="V498"/>
      <c r="W498">
        <v>18</v>
      </c>
    </row>
    <row r="499" spans="1:23">
      <c r="A499"/>
      <c r="B499" t="s">
        <v>98</v>
      </c>
      <c r="C499" t="s">
        <v>98</v>
      </c>
      <c r="D499" t="s">
        <v>33</v>
      </c>
      <c r="E499" t="s">
        <v>34</v>
      </c>
      <c r="F499" t="str">
        <f>"0017039"</f>
        <v>0017039</v>
      </c>
      <c r="G499">
        <v>1</v>
      </c>
      <c r="H499" t="str">
        <f>"00000001"</f>
        <v>00000001</v>
      </c>
      <c r="I499" t="s">
        <v>35</v>
      </c>
      <c r="J499"/>
      <c r="K499">
        <v>109.32</v>
      </c>
      <c r="L499">
        <v>0.0</v>
      </c>
      <c r="M499"/>
      <c r="N499"/>
      <c r="O499">
        <v>19.68</v>
      </c>
      <c r="P499">
        <v>0.0</v>
      </c>
      <c r="Q499">
        <v>129.0</v>
      </c>
      <c r="R499"/>
      <c r="S499"/>
      <c r="T499"/>
      <c r="U499"/>
      <c r="V499"/>
      <c r="W499">
        <v>18</v>
      </c>
    </row>
    <row r="500" spans="1:23">
      <c r="A500"/>
      <c r="B500" t="s">
        <v>100</v>
      </c>
      <c r="C500" t="s">
        <v>100</v>
      </c>
      <c r="D500" t="s">
        <v>33</v>
      </c>
      <c r="E500" t="s">
        <v>34</v>
      </c>
      <c r="F500" t="str">
        <f>"0017040"</f>
        <v>0017040</v>
      </c>
      <c r="G500">
        <v>1</v>
      </c>
      <c r="H500" t="str">
        <f>"00000001"</f>
        <v>00000001</v>
      </c>
      <c r="I500" t="s">
        <v>35</v>
      </c>
      <c r="J500"/>
      <c r="K500">
        <v>10.17</v>
      </c>
      <c r="L500">
        <v>0.0</v>
      </c>
      <c r="M500"/>
      <c r="N500"/>
      <c r="O500">
        <v>1.83</v>
      </c>
      <c r="P500">
        <v>0.0</v>
      </c>
      <c r="Q500">
        <v>12.0</v>
      </c>
      <c r="R500"/>
      <c r="S500"/>
      <c r="T500"/>
      <c r="U500"/>
      <c r="V500"/>
      <c r="W500">
        <v>18</v>
      </c>
    </row>
    <row r="501" spans="1:23">
      <c r="A501"/>
      <c r="B501" t="s">
        <v>100</v>
      </c>
      <c r="C501" t="s">
        <v>100</v>
      </c>
      <c r="D501" t="s">
        <v>33</v>
      </c>
      <c r="E501" t="s">
        <v>34</v>
      </c>
      <c r="F501" t="str">
        <f>"0017041"</f>
        <v>0017041</v>
      </c>
      <c r="G501">
        <v>1</v>
      </c>
      <c r="H501" t="str">
        <f>"00082662"</f>
        <v>00082662</v>
      </c>
      <c r="I501" t="s">
        <v>101</v>
      </c>
      <c r="J501"/>
      <c r="K501">
        <v>491.53</v>
      </c>
      <c r="L501">
        <v>0.0</v>
      </c>
      <c r="M501"/>
      <c r="N501"/>
      <c r="O501">
        <v>88.47</v>
      </c>
      <c r="P501">
        <v>0.0</v>
      </c>
      <c r="Q501">
        <v>580.0</v>
      </c>
      <c r="R501"/>
      <c r="S501"/>
      <c r="T501"/>
      <c r="U501"/>
      <c r="V501"/>
      <c r="W501">
        <v>18</v>
      </c>
    </row>
    <row r="502" spans="1:23">
      <c r="A502"/>
      <c r="B502" t="s">
        <v>100</v>
      </c>
      <c r="C502" t="s">
        <v>100</v>
      </c>
      <c r="D502" t="s">
        <v>33</v>
      </c>
      <c r="E502" t="s">
        <v>34</v>
      </c>
      <c r="F502" t="str">
        <f>"0017042"</f>
        <v>0017042</v>
      </c>
      <c r="G502">
        <v>1</v>
      </c>
      <c r="H502" t="str">
        <f>"00000001"</f>
        <v>00000001</v>
      </c>
      <c r="I502" t="s">
        <v>35</v>
      </c>
      <c r="J502"/>
      <c r="K502">
        <v>7.63</v>
      </c>
      <c r="L502">
        <v>0.0</v>
      </c>
      <c r="M502"/>
      <c r="N502"/>
      <c r="O502">
        <v>1.37</v>
      </c>
      <c r="P502">
        <v>0.0</v>
      </c>
      <c r="Q502">
        <v>9.0</v>
      </c>
      <c r="R502"/>
      <c r="S502"/>
      <c r="T502"/>
      <c r="U502"/>
      <c r="V502"/>
      <c r="W502">
        <v>18</v>
      </c>
    </row>
    <row r="503" spans="1:23">
      <c r="A503"/>
      <c r="B503" t="s">
        <v>100</v>
      </c>
      <c r="C503" t="s">
        <v>100</v>
      </c>
      <c r="D503" t="s">
        <v>33</v>
      </c>
      <c r="E503" t="s">
        <v>34</v>
      </c>
      <c r="F503" t="str">
        <f>"0017043"</f>
        <v>0017043</v>
      </c>
      <c r="G503">
        <v>1</v>
      </c>
      <c r="H503" t="str">
        <f>"CCFIE000"</f>
        <v>CCFIE000</v>
      </c>
      <c r="I503" t="s">
        <v>102</v>
      </c>
      <c r="J503"/>
      <c r="K503">
        <v>54.24</v>
      </c>
      <c r="L503">
        <v>0.0</v>
      </c>
      <c r="M503"/>
      <c r="N503"/>
      <c r="O503">
        <v>9.76</v>
      </c>
      <c r="P503">
        <v>0.0</v>
      </c>
      <c r="Q503">
        <v>64.0</v>
      </c>
      <c r="R503"/>
      <c r="S503"/>
      <c r="T503"/>
      <c r="U503"/>
      <c r="V503"/>
      <c r="W503">
        <v>18</v>
      </c>
    </row>
    <row r="504" spans="1:23">
      <c r="A504"/>
      <c r="B504" t="s">
        <v>100</v>
      </c>
      <c r="C504" t="s">
        <v>100</v>
      </c>
      <c r="D504" t="s">
        <v>33</v>
      </c>
      <c r="E504" t="s">
        <v>34</v>
      </c>
      <c r="F504" t="str">
        <f>"0017044"</f>
        <v>0017044</v>
      </c>
      <c r="G504">
        <v>6</v>
      </c>
      <c r="H504" t="str">
        <f>"20613142313"</f>
        <v>20613142313</v>
      </c>
      <c r="I504" t="s">
        <v>103</v>
      </c>
      <c r="J504"/>
      <c r="K504">
        <v>79.66</v>
      </c>
      <c r="L504">
        <v>0.0</v>
      </c>
      <c r="M504"/>
      <c r="N504"/>
      <c r="O504">
        <v>14.34</v>
      </c>
      <c r="P504">
        <v>0.0</v>
      </c>
      <c r="Q504">
        <v>94.0</v>
      </c>
      <c r="R504"/>
      <c r="S504"/>
      <c r="T504"/>
      <c r="U504"/>
      <c r="V504"/>
      <c r="W504">
        <v>18</v>
      </c>
    </row>
    <row r="505" spans="1:23">
      <c r="A505"/>
      <c r="B505" t="s">
        <v>100</v>
      </c>
      <c r="C505" t="s">
        <v>100</v>
      </c>
      <c r="D505" t="s">
        <v>33</v>
      </c>
      <c r="E505" t="s">
        <v>34</v>
      </c>
      <c r="F505" t="str">
        <f>"0017045"</f>
        <v>0017045</v>
      </c>
      <c r="G505">
        <v>1</v>
      </c>
      <c r="H505" t="str">
        <f>"00000001"</f>
        <v>00000001</v>
      </c>
      <c r="I505" t="s">
        <v>35</v>
      </c>
      <c r="J505"/>
      <c r="K505">
        <v>23.31</v>
      </c>
      <c r="L505">
        <v>0.0</v>
      </c>
      <c r="M505"/>
      <c r="N505"/>
      <c r="O505">
        <v>4.19</v>
      </c>
      <c r="P505">
        <v>0.0</v>
      </c>
      <c r="Q505">
        <v>27.5</v>
      </c>
      <c r="R505"/>
      <c r="S505"/>
      <c r="T505"/>
      <c r="U505"/>
      <c r="V505"/>
      <c r="W505">
        <v>18</v>
      </c>
    </row>
    <row r="506" spans="1:23">
      <c r="A506"/>
      <c r="B506" t="s">
        <v>100</v>
      </c>
      <c r="C506" t="s">
        <v>100</v>
      </c>
      <c r="D506" t="s">
        <v>33</v>
      </c>
      <c r="E506" t="s">
        <v>34</v>
      </c>
      <c r="F506" t="str">
        <f>"0017046"</f>
        <v>0017046</v>
      </c>
      <c r="G506">
        <v>1</v>
      </c>
      <c r="H506" t="str">
        <f>"00000001"</f>
        <v>00000001</v>
      </c>
      <c r="I506" t="s">
        <v>35</v>
      </c>
      <c r="J506"/>
      <c r="K506">
        <v>41.53</v>
      </c>
      <c r="L506">
        <v>0.0</v>
      </c>
      <c r="M506"/>
      <c r="N506"/>
      <c r="O506">
        <v>7.47</v>
      </c>
      <c r="P506">
        <v>0.0</v>
      </c>
      <c r="Q506">
        <v>49.0</v>
      </c>
      <c r="R506"/>
      <c r="S506"/>
      <c r="T506"/>
      <c r="U506"/>
      <c r="V506"/>
      <c r="W506">
        <v>18</v>
      </c>
    </row>
    <row r="507" spans="1:23">
      <c r="A507"/>
      <c r="B507" t="s">
        <v>100</v>
      </c>
      <c r="C507" t="s">
        <v>100</v>
      </c>
      <c r="D507" t="s">
        <v>33</v>
      </c>
      <c r="E507" t="s">
        <v>34</v>
      </c>
      <c r="F507" t="str">
        <f>"0017047"</f>
        <v>0017047</v>
      </c>
      <c r="G507">
        <v>1</v>
      </c>
      <c r="H507" t="str">
        <f>"00000001"</f>
        <v>00000001</v>
      </c>
      <c r="I507" t="s">
        <v>35</v>
      </c>
      <c r="J507"/>
      <c r="K507">
        <v>24.58</v>
      </c>
      <c r="L507">
        <v>0.0</v>
      </c>
      <c r="M507"/>
      <c r="N507"/>
      <c r="O507">
        <v>4.42</v>
      </c>
      <c r="P507">
        <v>0.0</v>
      </c>
      <c r="Q507">
        <v>29.0</v>
      </c>
      <c r="R507"/>
      <c r="S507"/>
      <c r="T507"/>
      <c r="U507"/>
      <c r="V507"/>
      <c r="W507">
        <v>18</v>
      </c>
    </row>
    <row r="508" spans="1:23">
      <c r="A508"/>
      <c r="B508" t="s">
        <v>100</v>
      </c>
      <c r="C508" t="s">
        <v>100</v>
      </c>
      <c r="D508" t="s">
        <v>33</v>
      </c>
      <c r="E508" t="s">
        <v>34</v>
      </c>
      <c r="F508" t="str">
        <f>"0017048"</f>
        <v>0017048</v>
      </c>
      <c r="G508">
        <v>1</v>
      </c>
      <c r="H508" t="str">
        <f>"00000001"</f>
        <v>00000001</v>
      </c>
      <c r="I508" t="s">
        <v>35</v>
      </c>
      <c r="J508"/>
      <c r="K508">
        <v>16.1</v>
      </c>
      <c r="L508">
        <v>0.0</v>
      </c>
      <c r="M508"/>
      <c r="N508"/>
      <c r="O508">
        <v>2.9</v>
      </c>
      <c r="P508">
        <v>0.0</v>
      </c>
      <c r="Q508">
        <v>19.0</v>
      </c>
      <c r="R508"/>
      <c r="S508"/>
      <c r="T508"/>
      <c r="U508"/>
      <c r="V508"/>
      <c r="W508">
        <v>18</v>
      </c>
    </row>
    <row r="509" spans="1:23">
      <c r="A509"/>
      <c r="B509" t="s">
        <v>100</v>
      </c>
      <c r="C509" t="s">
        <v>100</v>
      </c>
      <c r="D509" t="s">
        <v>33</v>
      </c>
      <c r="E509" t="s">
        <v>34</v>
      </c>
      <c r="F509" t="str">
        <f>"0017049"</f>
        <v>0017049</v>
      </c>
      <c r="G509">
        <v>1</v>
      </c>
      <c r="H509" t="str">
        <f>"00000001"</f>
        <v>00000001</v>
      </c>
      <c r="I509" t="s">
        <v>35</v>
      </c>
      <c r="J509"/>
      <c r="K509">
        <v>11.86</v>
      </c>
      <c r="L509">
        <v>0.0</v>
      </c>
      <c r="M509"/>
      <c r="N509"/>
      <c r="O509">
        <v>2.14</v>
      </c>
      <c r="P509">
        <v>0.0</v>
      </c>
      <c r="Q509">
        <v>14.0</v>
      </c>
      <c r="R509"/>
      <c r="S509"/>
      <c r="T509"/>
      <c r="U509"/>
      <c r="V509"/>
      <c r="W509">
        <v>18</v>
      </c>
    </row>
    <row r="510" spans="1:23">
      <c r="A510"/>
      <c r="B510" t="s">
        <v>100</v>
      </c>
      <c r="C510" t="s">
        <v>100</v>
      </c>
      <c r="D510" t="s">
        <v>33</v>
      </c>
      <c r="E510" t="s">
        <v>34</v>
      </c>
      <c r="F510" t="str">
        <f>"0017050"</f>
        <v>0017050</v>
      </c>
      <c r="G510">
        <v>1</v>
      </c>
      <c r="H510" t="str">
        <f>"00000001"</f>
        <v>00000001</v>
      </c>
      <c r="I510" t="s">
        <v>35</v>
      </c>
      <c r="J510"/>
      <c r="K510">
        <v>18.64</v>
      </c>
      <c r="L510">
        <v>0.0</v>
      </c>
      <c r="M510"/>
      <c r="N510"/>
      <c r="O510">
        <v>3.36</v>
      </c>
      <c r="P510">
        <v>0.0</v>
      </c>
      <c r="Q510">
        <v>22.0</v>
      </c>
      <c r="R510"/>
      <c r="S510"/>
      <c r="T510"/>
      <c r="U510"/>
      <c r="V510"/>
      <c r="W510">
        <v>18</v>
      </c>
    </row>
    <row r="511" spans="1:23">
      <c r="A511"/>
      <c r="B511" t="s">
        <v>100</v>
      </c>
      <c r="C511" t="s">
        <v>100</v>
      </c>
      <c r="D511" t="s">
        <v>33</v>
      </c>
      <c r="E511" t="s">
        <v>34</v>
      </c>
      <c r="F511" t="str">
        <f>"0017051"</f>
        <v>0017051</v>
      </c>
      <c r="G511">
        <v>1</v>
      </c>
      <c r="H511" t="str">
        <f>"00000001"</f>
        <v>00000001</v>
      </c>
      <c r="I511" t="s">
        <v>35</v>
      </c>
      <c r="J511"/>
      <c r="K511">
        <v>24.58</v>
      </c>
      <c r="L511">
        <v>0.0</v>
      </c>
      <c r="M511"/>
      <c r="N511"/>
      <c r="O511">
        <v>4.42</v>
      </c>
      <c r="P511">
        <v>0.0</v>
      </c>
      <c r="Q511">
        <v>29.0</v>
      </c>
      <c r="R511"/>
      <c r="S511"/>
      <c r="T511"/>
      <c r="U511"/>
      <c r="V511"/>
      <c r="W511">
        <v>18</v>
      </c>
    </row>
    <row r="512" spans="1:23">
      <c r="A512"/>
      <c r="B512" t="s">
        <v>100</v>
      </c>
      <c r="C512" t="s">
        <v>100</v>
      </c>
      <c r="D512" t="s">
        <v>33</v>
      </c>
      <c r="E512" t="s">
        <v>34</v>
      </c>
      <c r="F512" t="str">
        <f>"0017052"</f>
        <v>0017052</v>
      </c>
      <c r="G512">
        <v>1</v>
      </c>
      <c r="H512" t="str">
        <f>"00000001"</f>
        <v>00000001</v>
      </c>
      <c r="I512" t="s">
        <v>35</v>
      </c>
      <c r="J512"/>
      <c r="K512">
        <v>35.59</v>
      </c>
      <c r="L512">
        <v>0.0</v>
      </c>
      <c r="M512"/>
      <c r="N512"/>
      <c r="O512">
        <v>6.41</v>
      </c>
      <c r="P512">
        <v>0.0</v>
      </c>
      <c r="Q512">
        <v>42.0</v>
      </c>
      <c r="R512"/>
      <c r="S512"/>
      <c r="T512"/>
      <c r="U512"/>
      <c r="V512"/>
      <c r="W512">
        <v>18</v>
      </c>
    </row>
    <row r="513" spans="1:23">
      <c r="A513"/>
      <c r="B513" t="s">
        <v>100</v>
      </c>
      <c r="C513" t="s">
        <v>100</v>
      </c>
      <c r="D513" t="s">
        <v>33</v>
      </c>
      <c r="E513" t="s">
        <v>34</v>
      </c>
      <c r="F513" t="str">
        <f>"0017053"</f>
        <v>0017053</v>
      </c>
      <c r="G513">
        <v>1</v>
      </c>
      <c r="H513" t="str">
        <f>"00000001"</f>
        <v>00000001</v>
      </c>
      <c r="I513" t="s">
        <v>35</v>
      </c>
      <c r="J513"/>
      <c r="K513">
        <v>16.1</v>
      </c>
      <c r="L513">
        <v>0.0</v>
      </c>
      <c r="M513"/>
      <c r="N513"/>
      <c r="O513">
        <v>2.9</v>
      </c>
      <c r="P513">
        <v>0.0</v>
      </c>
      <c r="Q513">
        <v>19.0</v>
      </c>
      <c r="R513"/>
      <c r="S513"/>
      <c r="T513"/>
      <c r="U513"/>
      <c r="V513"/>
      <c r="W513">
        <v>18</v>
      </c>
    </row>
    <row r="514" spans="1:23">
      <c r="A514"/>
      <c r="B514" t="s">
        <v>100</v>
      </c>
      <c r="C514" t="s">
        <v>100</v>
      </c>
      <c r="D514" t="s">
        <v>36</v>
      </c>
      <c r="E514" t="s">
        <v>37</v>
      </c>
      <c r="F514" t="str">
        <f>"0001383"</f>
        <v>0001383</v>
      </c>
      <c r="G514">
        <v>6</v>
      </c>
      <c r="H514" t="str">
        <f>"20101298851"</f>
        <v>20101298851</v>
      </c>
      <c r="I514" t="s">
        <v>42</v>
      </c>
      <c r="J514"/>
      <c r="K514">
        <v>5.08</v>
      </c>
      <c r="L514">
        <v>0.0</v>
      </c>
      <c r="M514"/>
      <c r="N514"/>
      <c r="O514">
        <v>0.92</v>
      </c>
      <c r="P514">
        <v>0.0</v>
      </c>
      <c r="Q514">
        <v>6.0</v>
      </c>
      <c r="R514"/>
      <c r="S514"/>
      <c r="T514"/>
      <c r="U514"/>
      <c r="V514"/>
      <c r="W514">
        <v>18</v>
      </c>
    </row>
    <row r="515" spans="1:23">
      <c r="A515"/>
      <c r="B515" t="s">
        <v>100</v>
      </c>
      <c r="C515" t="s">
        <v>100</v>
      </c>
      <c r="D515" t="s">
        <v>33</v>
      </c>
      <c r="E515" t="s">
        <v>34</v>
      </c>
      <c r="F515" t="str">
        <f>"0017054"</f>
        <v>0017054</v>
      </c>
      <c r="G515">
        <v>1</v>
      </c>
      <c r="H515" t="str">
        <f>"00000001"</f>
        <v>00000001</v>
      </c>
      <c r="I515" t="s">
        <v>35</v>
      </c>
      <c r="J515"/>
      <c r="K515">
        <v>152.54</v>
      </c>
      <c r="L515">
        <v>0.0</v>
      </c>
      <c r="M515"/>
      <c r="N515"/>
      <c r="O515">
        <v>27.46</v>
      </c>
      <c r="P515">
        <v>0.0</v>
      </c>
      <c r="Q515">
        <v>180.0</v>
      </c>
      <c r="R515"/>
      <c r="S515"/>
      <c r="T515"/>
      <c r="U515"/>
      <c r="V515"/>
      <c r="W515">
        <v>18</v>
      </c>
    </row>
    <row r="516" spans="1:23">
      <c r="A516"/>
      <c r="B516" t="s">
        <v>100</v>
      </c>
      <c r="C516" t="s">
        <v>100</v>
      </c>
      <c r="D516" t="s">
        <v>33</v>
      </c>
      <c r="E516" t="s">
        <v>34</v>
      </c>
      <c r="F516" t="str">
        <f>"0017055"</f>
        <v>0017055</v>
      </c>
      <c r="G516">
        <v>1</v>
      </c>
      <c r="H516" t="str">
        <f>"00000001"</f>
        <v>00000001</v>
      </c>
      <c r="I516" t="s">
        <v>35</v>
      </c>
      <c r="J516"/>
      <c r="K516">
        <v>50.85</v>
      </c>
      <c r="L516">
        <v>0.0</v>
      </c>
      <c r="M516"/>
      <c r="N516"/>
      <c r="O516">
        <v>9.15</v>
      </c>
      <c r="P516">
        <v>0.0</v>
      </c>
      <c r="Q516">
        <v>60.0</v>
      </c>
      <c r="R516"/>
      <c r="S516"/>
      <c r="T516"/>
      <c r="U516"/>
      <c r="V516"/>
      <c r="W516">
        <v>18</v>
      </c>
    </row>
    <row r="517" spans="1:23">
      <c r="A517"/>
      <c r="B517" t="s">
        <v>100</v>
      </c>
      <c r="C517" t="s">
        <v>100</v>
      </c>
      <c r="D517" t="s">
        <v>33</v>
      </c>
      <c r="E517" t="s">
        <v>34</v>
      </c>
      <c r="F517" t="str">
        <f>"0017056"</f>
        <v>0017056</v>
      </c>
      <c r="G517">
        <v>1</v>
      </c>
      <c r="H517" t="str">
        <f>"00000001"</f>
        <v>00000001</v>
      </c>
      <c r="I517" t="s">
        <v>35</v>
      </c>
      <c r="J517"/>
      <c r="K517">
        <v>36.44</v>
      </c>
      <c r="L517">
        <v>0.0</v>
      </c>
      <c r="M517"/>
      <c r="N517"/>
      <c r="O517">
        <v>6.56</v>
      </c>
      <c r="P517">
        <v>0.0</v>
      </c>
      <c r="Q517">
        <v>43.0</v>
      </c>
      <c r="R517"/>
      <c r="S517"/>
      <c r="T517"/>
      <c r="U517"/>
      <c r="V517"/>
      <c r="W517">
        <v>18</v>
      </c>
    </row>
    <row r="518" spans="1:23">
      <c r="A518"/>
      <c r="B518" t="s">
        <v>100</v>
      </c>
      <c r="C518" t="s">
        <v>100</v>
      </c>
      <c r="D518" t="s">
        <v>33</v>
      </c>
      <c r="E518" t="s">
        <v>34</v>
      </c>
      <c r="F518" t="str">
        <f>"0017057"</f>
        <v>0017057</v>
      </c>
      <c r="G518">
        <v>1</v>
      </c>
      <c r="H518" t="str">
        <f>"00000001"</f>
        <v>00000001</v>
      </c>
      <c r="I518" t="s">
        <v>35</v>
      </c>
      <c r="J518"/>
      <c r="K518">
        <v>16.1</v>
      </c>
      <c r="L518">
        <v>0.0</v>
      </c>
      <c r="M518"/>
      <c r="N518"/>
      <c r="O518">
        <v>2.9</v>
      </c>
      <c r="P518">
        <v>0.0</v>
      </c>
      <c r="Q518">
        <v>19.0</v>
      </c>
      <c r="R518"/>
      <c r="S518"/>
      <c r="T518"/>
      <c r="U518"/>
      <c r="V518"/>
      <c r="W518">
        <v>18</v>
      </c>
    </row>
    <row r="519" spans="1:23">
      <c r="A519"/>
      <c r="B519" t="s">
        <v>100</v>
      </c>
      <c r="C519" t="s">
        <v>100</v>
      </c>
      <c r="D519" t="s">
        <v>33</v>
      </c>
      <c r="E519" t="s">
        <v>34</v>
      </c>
      <c r="F519" t="str">
        <f>"0017058"</f>
        <v>0017058</v>
      </c>
      <c r="G519">
        <v>1</v>
      </c>
      <c r="H519" t="str">
        <f>"00000001"</f>
        <v>00000001</v>
      </c>
      <c r="I519" t="s">
        <v>35</v>
      </c>
      <c r="J519"/>
      <c r="K519">
        <v>33.9</v>
      </c>
      <c r="L519">
        <v>0.0</v>
      </c>
      <c r="M519"/>
      <c r="N519"/>
      <c r="O519">
        <v>6.1</v>
      </c>
      <c r="P519">
        <v>0.0</v>
      </c>
      <c r="Q519">
        <v>40.0</v>
      </c>
      <c r="R519"/>
      <c r="S519"/>
      <c r="T519"/>
      <c r="U519"/>
      <c r="V519"/>
      <c r="W519">
        <v>18</v>
      </c>
    </row>
    <row r="520" spans="1:23">
      <c r="A520"/>
      <c r="B520" t="s">
        <v>104</v>
      </c>
      <c r="C520" t="s">
        <v>104</v>
      </c>
      <c r="D520" t="s">
        <v>33</v>
      </c>
      <c r="E520" t="s">
        <v>34</v>
      </c>
      <c r="F520" t="str">
        <f>"0017059"</f>
        <v>0017059</v>
      </c>
      <c r="G520">
        <v>1</v>
      </c>
      <c r="H520" t="str">
        <f>"00000001"</f>
        <v>00000001</v>
      </c>
      <c r="I520" t="s">
        <v>35</v>
      </c>
      <c r="J520"/>
      <c r="K520">
        <v>8.05</v>
      </c>
      <c r="L520">
        <v>0.0</v>
      </c>
      <c r="M520"/>
      <c r="N520"/>
      <c r="O520">
        <v>1.45</v>
      </c>
      <c r="P520">
        <v>0.0</v>
      </c>
      <c r="Q520">
        <v>9.5</v>
      </c>
      <c r="R520"/>
      <c r="S520"/>
      <c r="T520"/>
      <c r="U520"/>
      <c r="V520"/>
      <c r="W520">
        <v>18</v>
      </c>
    </row>
    <row r="521" spans="1:23">
      <c r="A521"/>
      <c r="B521" t="s">
        <v>104</v>
      </c>
      <c r="C521" t="s">
        <v>104</v>
      </c>
      <c r="D521" t="s">
        <v>33</v>
      </c>
      <c r="E521" t="s">
        <v>34</v>
      </c>
      <c r="F521" t="str">
        <f>"0017060"</f>
        <v>0017060</v>
      </c>
      <c r="G521">
        <v>1</v>
      </c>
      <c r="H521" t="str">
        <f>"00000001"</f>
        <v>00000001</v>
      </c>
      <c r="I521" t="s">
        <v>35</v>
      </c>
      <c r="J521"/>
      <c r="K521">
        <v>5.08</v>
      </c>
      <c r="L521">
        <v>0.0</v>
      </c>
      <c r="M521"/>
      <c r="N521"/>
      <c r="O521">
        <v>0.92</v>
      </c>
      <c r="P521">
        <v>0.0</v>
      </c>
      <c r="Q521">
        <v>6.0</v>
      </c>
      <c r="R521"/>
      <c r="S521"/>
      <c r="T521"/>
      <c r="U521"/>
      <c r="V521"/>
      <c r="W521">
        <v>18</v>
      </c>
    </row>
    <row r="522" spans="1:23">
      <c r="A522"/>
      <c r="B522" t="s">
        <v>104</v>
      </c>
      <c r="C522" t="s">
        <v>104</v>
      </c>
      <c r="D522" t="s">
        <v>33</v>
      </c>
      <c r="E522" t="s">
        <v>34</v>
      </c>
      <c r="F522" t="str">
        <f>"0017061"</f>
        <v>0017061</v>
      </c>
      <c r="G522">
        <v>1</v>
      </c>
      <c r="H522" t="str">
        <f>"00000001"</f>
        <v>00000001</v>
      </c>
      <c r="I522" t="s">
        <v>35</v>
      </c>
      <c r="J522"/>
      <c r="K522">
        <v>7.63</v>
      </c>
      <c r="L522">
        <v>0.0</v>
      </c>
      <c r="M522"/>
      <c r="N522"/>
      <c r="O522">
        <v>1.37</v>
      </c>
      <c r="P522">
        <v>0.0</v>
      </c>
      <c r="Q522">
        <v>9.0</v>
      </c>
      <c r="R522"/>
      <c r="S522"/>
      <c r="T522"/>
      <c r="U522"/>
      <c r="V522"/>
      <c r="W522">
        <v>18</v>
      </c>
    </row>
    <row r="523" spans="1:23">
      <c r="A523"/>
      <c r="B523" t="s">
        <v>104</v>
      </c>
      <c r="C523" t="s">
        <v>104</v>
      </c>
      <c r="D523" t="s">
        <v>33</v>
      </c>
      <c r="E523" t="s">
        <v>34</v>
      </c>
      <c r="F523" t="str">
        <f>"0017062"</f>
        <v>0017062</v>
      </c>
      <c r="G523">
        <v>1</v>
      </c>
      <c r="H523" t="str">
        <f>"00000001"</f>
        <v>00000001</v>
      </c>
      <c r="I523" t="s">
        <v>35</v>
      </c>
      <c r="J523"/>
      <c r="K523">
        <v>4.24</v>
      </c>
      <c r="L523">
        <v>0.0</v>
      </c>
      <c r="M523"/>
      <c r="N523"/>
      <c r="O523">
        <v>0.76</v>
      </c>
      <c r="P523">
        <v>0.0</v>
      </c>
      <c r="Q523">
        <v>5.0</v>
      </c>
      <c r="R523"/>
      <c r="S523"/>
      <c r="T523"/>
      <c r="U523"/>
      <c r="V523"/>
      <c r="W523">
        <v>18</v>
      </c>
    </row>
    <row r="524" spans="1:23">
      <c r="A524"/>
      <c r="B524" t="s">
        <v>104</v>
      </c>
      <c r="C524" t="s">
        <v>104</v>
      </c>
      <c r="D524" t="s">
        <v>33</v>
      </c>
      <c r="E524" t="s">
        <v>34</v>
      </c>
      <c r="F524" t="str">
        <f>"0017063"</f>
        <v>0017063</v>
      </c>
      <c r="G524">
        <v>1</v>
      </c>
      <c r="H524" t="str">
        <f>"00000001"</f>
        <v>00000001</v>
      </c>
      <c r="I524" t="s">
        <v>35</v>
      </c>
      <c r="J524"/>
      <c r="K524">
        <v>8.47</v>
      </c>
      <c r="L524">
        <v>0.0</v>
      </c>
      <c r="M524"/>
      <c r="N524"/>
      <c r="O524">
        <v>1.53</v>
      </c>
      <c r="P524">
        <v>0.0</v>
      </c>
      <c r="Q524">
        <v>10.0</v>
      </c>
      <c r="R524"/>
      <c r="S524"/>
      <c r="T524"/>
      <c r="U524"/>
      <c r="V524"/>
      <c r="W524">
        <v>18</v>
      </c>
    </row>
    <row r="525" spans="1:23">
      <c r="A525"/>
      <c r="B525" t="s">
        <v>104</v>
      </c>
      <c r="C525" t="s">
        <v>104</v>
      </c>
      <c r="D525" t="s">
        <v>33</v>
      </c>
      <c r="E525" t="s">
        <v>34</v>
      </c>
      <c r="F525" t="str">
        <f>"0017064"</f>
        <v>0017064</v>
      </c>
      <c r="G525">
        <v>1</v>
      </c>
      <c r="H525" t="str">
        <f>"00000001"</f>
        <v>00000001</v>
      </c>
      <c r="I525" t="s">
        <v>35</v>
      </c>
      <c r="J525"/>
      <c r="K525">
        <v>2.54</v>
      </c>
      <c r="L525">
        <v>0.0</v>
      </c>
      <c r="M525"/>
      <c r="N525"/>
      <c r="O525">
        <v>0.46</v>
      </c>
      <c r="P525">
        <v>0.0</v>
      </c>
      <c r="Q525">
        <v>3.0</v>
      </c>
      <c r="R525"/>
      <c r="S525"/>
      <c r="T525"/>
      <c r="U525"/>
      <c r="V525"/>
      <c r="W525">
        <v>18</v>
      </c>
    </row>
    <row r="526" spans="1:23">
      <c r="A526"/>
      <c r="B526" t="s">
        <v>104</v>
      </c>
      <c r="C526" t="s">
        <v>104</v>
      </c>
      <c r="D526" t="s">
        <v>33</v>
      </c>
      <c r="E526" t="s">
        <v>34</v>
      </c>
      <c r="F526" t="str">
        <f>"0017065"</f>
        <v>0017065</v>
      </c>
      <c r="G526">
        <v>1</v>
      </c>
      <c r="H526" t="str">
        <f>"00000001"</f>
        <v>00000001</v>
      </c>
      <c r="I526" t="s">
        <v>35</v>
      </c>
      <c r="J526"/>
      <c r="K526">
        <v>3.39</v>
      </c>
      <c r="L526">
        <v>0.0</v>
      </c>
      <c r="M526"/>
      <c r="N526"/>
      <c r="O526">
        <v>0.61</v>
      </c>
      <c r="P526">
        <v>0.0</v>
      </c>
      <c r="Q526">
        <v>4.0</v>
      </c>
      <c r="R526"/>
      <c r="S526"/>
      <c r="T526"/>
      <c r="U526"/>
      <c r="V526"/>
      <c r="W526">
        <v>18</v>
      </c>
    </row>
    <row r="527" spans="1:23">
      <c r="A527"/>
      <c r="B527" t="s">
        <v>104</v>
      </c>
      <c r="C527" t="s">
        <v>104</v>
      </c>
      <c r="D527" t="s">
        <v>33</v>
      </c>
      <c r="E527" t="s">
        <v>34</v>
      </c>
      <c r="F527" t="str">
        <f>"0017066"</f>
        <v>0017066</v>
      </c>
      <c r="G527">
        <v>1</v>
      </c>
      <c r="H527" t="str">
        <f>"00000001"</f>
        <v>00000001</v>
      </c>
      <c r="I527" t="s">
        <v>35</v>
      </c>
      <c r="J527"/>
      <c r="K527">
        <v>1.69</v>
      </c>
      <c r="L527">
        <v>0.0</v>
      </c>
      <c r="M527"/>
      <c r="N527"/>
      <c r="O527">
        <v>0.31</v>
      </c>
      <c r="P527">
        <v>0.0</v>
      </c>
      <c r="Q527">
        <v>2.0</v>
      </c>
      <c r="R527"/>
      <c r="S527"/>
      <c r="T527"/>
      <c r="U527"/>
      <c r="V527"/>
      <c r="W527">
        <v>18</v>
      </c>
    </row>
    <row r="528" spans="1:23">
      <c r="A528"/>
      <c r="B528" t="s">
        <v>104</v>
      </c>
      <c r="C528" t="s">
        <v>104</v>
      </c>
      <c r="D528" t="s">
        <v>33</v>
      </c>
      <c r="E528" t="s">
        <v>34</v>
      </c>
      <c r="F528" t="str">
        <f>"0017067"</f>
        <v>0017067</v>
      </c>
      <c r="G528">
        <v>1</v>
      </c>
      <c r="H528" t="str">
        <f>"00000001"</f>
        <v>00000001</v>
      </c>
      <c r="I528" t="s">
        <v>35</v>
      </c>
      <c r="J528"/>
      <c r="K528">
        <v>5.93</v>
      </c>
      <c r="L528">
        <v>0.0</v>
      </c>
      <c r="M528"/>
      <c r="N528"/>
      <c r="O528">
        <v>1.07</v>
      </c>
      <c r="P528">
        <v>0.0</v>
      </c>
      <c r="Q528">
        <v>7.0</v>
      </c>
      <c r="R528"/>
      <c r="S528"/>
      <c r="T528"/>
      <c r="U528"/>
      <c r="V528"/>
      <c r="W528">
        <v>18</v>
      </c>
    </row>
    <row r="529" spans="1:23">
      <c r="A529"/>
      <c r="B529" t="s">
        <v>104</v>
      </c>
      <c r="C529" t="s">
        <v>104</v>
      </c>
      <c r="D529" t="s">
        <v>33</v>
      </c>
      <c r="E529" t="s">
        <v>34</v>
      </c>
      <c r="F529" t="str">
        <f>"0017068"</f>
        <v>0017068</v>
      </c>
      <c r="G529">
        <v>1</v>
      </c>
      <c r="H529" t="str">
        <f>"00000001"</f>
        <v>00000001</v>
      </c>
      <c r="I529" t="s">
        <v>35</v>
      </c>
      <c r="J529"/>
      <c r="K529">
        <v>2.54</v>
      </c>
      <c r="L529">
        <v>0.0</v>
      </c>
      <c r="M529"/>
      <c r="N529"/>
      <c r="O529">
        <v>0.46</v>
      </c>
      <c r="P529">
        <v>0.0</v>
      </c>
      <c r="Q529">
        <v>3.0</v>
      </c>
      <c r="R529"/>
      <c r="S529"/>
      <c r="T529"/>
      <c r="U529"/>
      <c r="V529"/>
      <c r="W529">
        <v>18</v>
      </c>
    </row>
    <row r="530" spans="1:23">
      <c r="A530"/>
      <c r="B530" t="s">
        <v>104</v>
      </c>
      <c r="C530" t="s">
        <v>104</v>
      </c>
      <c r="D530" t="s">
        <v>33</v>
      </c>
      <c r="E530" t="s">
        <v>34</v>
      </c>
      <c r="F530" t="str">
        <f>"0017069"</f>
        <v>0017069</v>
      </c>
      <c r="G530">
        <v>1</v>
      </c>
      <c r="H530" t="str">
        <f>"00000001"</f>
        <v>00000001</v>
      </c>
      <c r="I530" t="s">
        <v>35</v>
      </c>
      <c r="J530"/>
      <c r="K530">
        <v>5.08</v>
      </c>
      <c r="L530">
        <v>0.0</v>
      </c>
      <c r="M530"/>
      <c r="N530"/>
      <c r="O530">
        <v>0.92</v>
      </c>
      <c r="P530">
        <v>0.0</v>
      </c>
      <c r="Q530">
        <v>6.0</v>
      </c>
      <c r="R530"/>
      <c r="S530"/>
      <c r="T530"/>
      <c r="U530"/>
      <c r="V530"/>
      <c r="W530">
        <v>18</v>
      </c>
    </row>
    <row r="531" spans="1:23">
      <c r="A531"/>
      <c r="B531" t="s">
        <v>104</v>
      </c>
      <c r="C531" t="s">
        <v>104</v>
      </c>
      <c r="D531" t="s">
        <v>33</v>
      </c>
      <c r="E531" t="s">
        <v>34</v>
      </c>
      <c r="F531" t="str">
        <f>"0017070"</f>
        <v>0017070</v>
      </c>
      <c r="G531">
        <v>1</v>
      </c>
      <c r="H531" t="str">
        <f>"00000001"</f>
        <v>00000001</v>
      </c>
      <c r="I531" t="s">
        <v>35</v>
      </c>
      <c r="J531"/>
      <c r="K531">
        <v>16.95</v>
      </c>
      <c r="L531">
        <v>0.0</v>
      </c>
      <c r="M531"/>
      <c r="N531"/>
      <c r="O531">
        <v>3.05</v>
      </c>
      <c r="P531">
        <v>0.0</v>
      </c>
      <c r="Q531">
        <v>20.0</v>
      </c>
      <c r="R531"/>
      <c r="S531"/>
      <c r="T531"/>
      <c r="U531"/>
      <c r="V531"/>
      <c r="W531">
        <v>18</v>
      </c>
    </row>
    <row r="532" spans="1:23">
      <c r="A532"/>
      <c r="B532" t="s">
        <v>104</v>
      </c>
      <c r="C532" t="s">
        <v>104</v>
      </c>
      <c r="D532" t="s">
        <v>33</v>
      </c>
      <c r="E532" t="s">
        <v>34</v>
      </c>
      <c r="F532" t="str">
        <f>"0017071"</f>
        <v>0017071</v>
      </c>
      <c r="G532">
        <v>1</v>
      </c>
      <c r="H532" t="str">
        <f>"00000001"</f>
        <v>00000001</v>
      </c>
      <c r="I532" t="s">
        <v>35</v>
      </c>
      <c r="J532"/>
      <c r="K532">
        <v>5.08</v>
      </c>
      <c r="L532">
        <v>0.0</v>
      </c>
      <c r="M532"/>
      <c r="N532"/>
      <c r="O532">
        <v>0.92</v>
      </c>
      <c r="P532">
        <v>0.0</v>
      </c>
      <c r="Q532">
        <v>6.0</v>
      </c>
      <c r="R532"/>
      <c r="S532"/>
      <c r="T532"/>
      <c r="U532"/>
      <c r="V532"/>
      <c r="W532">
        <v>18</v>
      </c>
    </row>
    <row r="533" spans="1:23">
      <c r="A533"/>
      <c r="B533" t="s">
        <v>104</v>
      </c>
      <c r="C533" t="s">
        <v>104</v>
      </c>
      <c r="D533" t="s">
        <v>33</v>
      </c>
      <c r="E533" t="s">
        <v>34</v>
      </c>
      <c r="F533" t="str">
        <f>"0017072"</f>
        <v>0017072</v>
      </c>
      <c r="G533">
        <v>1</v>
      </c>
      <c r="H533" t="str">
        <f>"00000001"</f>
        <v>00000001</v>
      </c>
      <c r="I533" t="s">
        <v>35</v>
      </c>
      <c r="J533"/>
      <c r="K533">
        <v>1.69</v>
      </c>
      <c r="L533">
        <v>0.0</v>
      </c>
      <c r="M533"/>
      <c r="N533"/>
      <c r="O533">
        <v>0.31</v>
      </c>
      <c r="P533">
        <v>0.0</v>
      </c>
      <c r="Q533">
        <v>2.0</v>
      </c>
      <c r="R533"/>
      <c r="S533"/>
      <c r="T533"/>
      <c r="U533"/>
      <c r="V533"/>
      <c r="W533">
        <v>18</v>
      </c>
    </row>
    <row r="534" spans="1:23">
      <c r="A534"/>
      <c r="B534" t="s">
        <v>104</v>
      </c>
      <c r="C534" t="s">
        <v>104</v>
      </c>
      <c r="D534" t="s">
        <v>33</v>
      </c>
      <c r="E534" t="s">
        <v>34</v>
      </c>
      <c r="F534" t="str">
        <f>"0017073"</f>
        <v>0017073</v>
      </c>
      <c r="G534">
        <v>1</v>
      </c>
      <c r="H534" t="str">
        <f>"00000001"</f>
        <v>00000001</v>
      </c>
      <c r="I534" t="s">
        <v>35</v>
      </c>
      <c r="J534"/>
      <c r="K534">
        <v>16.1</v>
      </c>
      <c r="L534">
        <v>0.0</v>
      </c>
      <c r="M534"/>
      <c r="N534"/>
      <c r="O534">
        <v>2.9</v>
      </c>
      <c r="P534">
        <v>0.0</v>
      </c>
      <c r="Q534">
        <v>19.0</v>
      </c>
      <c r="R534"/>
      <c r="S534"/>
      <c r="T534"/>
      <c r="U534"/>
      <c r="V534"/>
      <c r="W534">
        <v>18</v>
      </c>
    </row>
    <row r="535" spans="1:23">
      <c r="A535"/>
      <c r="B535" t="s">
        <v>104</v>
      </c>
      <c r="C535" t="s">
        <v>104</v>
      </c>
      <c r="D535" t="s">
        <v>33</v>
      </c>
      <c r="E535" t="s">
        <v>34</v>
      </c>
      <c r="F535" t="str">
        <f>"0017074"</f>
        <v>0017074</v>
      </c>
      <c r="G535">
        <v>1</v>
      </c>
      <c r="H535" t="str">
        <f>"00000001"</f>
        <v>00000001</v>
      </c>
      <c r="I535" t="s">
        <v>35</v>
      </c>
      <c r="J535"/>
      <c r="K535">
        <v>4.24</v>
      </c>
      <c r="L535">
        <v>0.0</v>
      </c>
      <c r="M535"/>
      <c r="N535"/>
      <c r="O535">
        <v>0.76</v>
      </c>
      <c r="P535">
        <v>0.0</v>
      </c>
      <c r="Q535">
        <v>5.0</v>
      </c>
      <c r="R535"/>
      <c r="S535"/>
      <c r="T535"/>
      <c r="U535"/>
      <c r="V535"/>
      <c r="W535">
        <v>18</v>
      </c>
    </row>
    <row r="536" spans="1:23">
      <c r="A536"/>
      <c r="B536" t="s">
        <v>104</v>
      </c>
      <c r="C536" t="s">
        <v>104</v>
      </c>
      <c r="D536" t="s">
        <v>33</v>
      </c>
      <c r="E536" t="s">
        <v>34</v>
      </c>
      <c r="F536" t="str">
        <f>"0017075"</f>
        <v>0017075</v>
      </c>
      <c r="G536">
        <v>1</v>
      </c>
      <c r="H536" t="str">
        <f>"00000001"</f>
        <v>00000001</v>
      </c>
      <c r="I536" t="s">
        <v>35</v>
      </c>
      <c r="J536"/>
      <c r="K536">
        <v>47.46</v>
      </c>
      <c r="L536">
        <v>0.0</v>
      </c>
      <c r="M536"/>
      <c r="N536"/>
      <c r="O536">
        <v>8.54</v>
      </c>
      <c r="P536">
        <v>0.0</v>
      </c>
      <c r="Q536">
        <v>56.0</v>
      </c>
      <c r="R536"/>
      <c r="S536"/>
      <c r="T536"/>
      <c r="U536"/>
      <c r="V536"/>
      <c r="W536">
        <v>18</v>
      </c>
    </row>
    <row r="537" spans="1:23">
      <c r="A537"/>
      <c r="B537" t="s">
        <v>104</v>
      </c>
      <c r="C537" t="s">
        <v>104</v>
      </c>
      <c r="D537" t="s">
        <v>33</v>
      </c>
      <c r="E537" t="s">
        <v>34</v>
      </c>
      <c r="F537" t="str">
        <f>"0017076"</f>
        <v>0017076</v>
      </c>
      <c r="G537">
        <v>1</v>
      </c>
      <c r="H537" t="str">
        <f>"00000001"</f>
        <v>00000001</v>
      </c>
      <c r="I537" t="s">
        <v>35</v>
      </c>
      <c r="J537"/>
      <c r="K537">
        <v>6.36</v>
      </c>
      <c r="L537">
        <v>0.0</v>
      </c>
      <c r="M537"/>
      <c r="N537"/>
      <c r="O537">
        <v>1.14</v>
      </c>
      <c r="P537">
        <v>0.0</v>
      </c>
      <c r="Q537">
        <v>7.5</v>
      </c>
      <c r="R537"/>
      <c r="S537"/>
      <c r="T537"/>
      <c r="U537"/>
      <c r="V537"/>
      <c r="W537">
        <v>18</v>
      </c>
    </row>
    <row r="538" spans="1:23">
      <c r="A538"/>
      <c r="B538" t="s">
        <v>104</v>
      </c>
      <c r="C538" t="s">
        <v>104</v>
      </c>
      <c r="D538" t="s">
        <v>33</v>
      </c>
      <c r="E538" t="s">
        <v>34</v>
      </c>
      <c r="F538" t="str">
        <f>"0017077"</f>
        <v>0017077</v>
      </c>
      <c r="G538">
        <v>1</v>
      </c>
      <c r="H538" t="str">
        <f>"00000001"</f>
        <v>00000001</v>
      </c>
      <c r="I538" t="s">
        <v>35</v>
      </c>
      <c r="J538"/>
      <c r="K538">
        <v>20.34</v>
      </c>
      <c r="L538">
        <v>0.0</v>
      </c>
      <c r="M538"/>
      <c r="N538"/>
      <c r="O538">
        <v>3.66</v>
      </c>
      <c r="P538">
        <v>0.0</v>
      </c>
      <c r="Q538">
        <v>24.0</v>
      </c>
      <c r="R538"/>
      <c r="S538"/>
      <c r="T538"/>
      <c r="U538"/>
      <c r="V538"/>
      <c r="W538">
        <v>18</v>
      </c>
    </row>
    <row r="539" spans="1:23">
      <c r="A539"/>
      <c r="B539" t="s">
        <v>104</v>
      </c>
      <c r="C539" t="s">
        <v>104</v>
      </c>
      <c r="D539" t="s">
        <v>33</v>
      </c>
      <c r="E539" t="s">
        <v>34</v>
      </c>
      <c r="F539" t="str">
        <f>"0017078"</f>
        <v>0017078</v>
      </c>
      <c r="G539">
        <v>1</v>
      </c>
      <c r="H539" t="str">
        <f>"00000001"</f>
        <v>00000001</v>
      </c>
      <c r="I539" t="s">
        <v>35</v>
      </c>
      <c r="J539"/>
      <c r="K539">
        <v>5.93</v>
      </c>
      <c r="L539">
        <v>0.0</v>
      </c>
      <c r="M539"/>
      <c r="N539"/>
      <c r="O539">
        <v>1.07</v>
      </c>
      <c r="P539">
        <v>0.0</v>
      </c>
      <c r="Q539">
        <v>7.0</v>
      </c>
      <c r="R539"/>
      <c r="S539"/>
      <c r="T539"/>
      <c r="U539"/>
      <c r="V539"/>
      <c r="W539">
        <v>18</v>
      </c>
    </row>
    <row r="540" spans="1:23">
      <c r="A540"/>
      <c r="B540" t="s">
        <v>104</v>
      </c>
      <c r="C540" t="s">
        <v>104</v>
      </c>
      <c r="D540" t="s">
        <v>33</v>
      </c>
      <c r="E540" t="s">
        <v>34</v>
      </c>
      <c r="F540" t="str">
        <f>"0017079"</f>
        <v>0017079</v>
      </c>
      <c r="G540">
        <v>1</v>
      </c>
      <c r="H540" t="str">
        <f>"00000001"</f>
        <v>00000001</v>
      </c>
      <c r="I540" t="s">
        <v>35</v>
      </c>
      <c r="J540"/>
      <c r="K540">
        <v>4.24</v>
      </c>
      <c r="L540">
        <v>0.0</v>
      </c>
      <c r="M540"/>
      <c r="N540"/>
      <c r="O540">
        <v>0.76</v>
      </c>
      <c r="P540">
        <v>0.0</v>
      </c>
      <c r="Q540">
        <v>5.0</v>
      </c>
      <c r="R540"/>
      <c r="S540"/>
      <c r="T540"/>
      <c r="U540"/>
      <c r="V540"/>
      <c r="W540">
        <v>18</v>
      </c>
    </row>
    <row r="541" spans="1:23">
      <c r="A541"/>
      <c r="B541" t="s">
        <v>104</v>
      </c>
      <c r="C541" t="s">
        <v>104</v>
      </c>
      <c r="D541" t="s">
        <v>33</v>
      </c>
      <c r="E541" t="s">
        <v>34</v>
      </c>
      <c r="F541" t="str">
        <f>"0017080"</f>
        <v>0017080</v>
      </c>
      <c r="G541">
        <v>1</v>
      </c>
      <c r="H541" t="str">
        <f>"00000001"</f>
        <v>00000001</v>
      </c>
      <c r="I541" t="s">
        <v>35</v>
      </c>
      <c r="J541"/>
      <c r="K541">
        <v>42.37</v>
      </c>
      <c r="L541">
        <v>0.0</v>
      </c>
      <c r="M541"/>
      <c r="N541"/>
      <c r="O541">
        <v>7.63</v>
      </c>
      <c r="P541">
        <v>0.0</v>
      </c>
      <c r="Q541">
        <v>50.0</v>
      </c>
      <c r="R541"/>
      <c r="S541"/>
      <c r="T541"/>
      <c r="U541"/>
      <c r="V541"/>
      <c r="W541">
        <v>18</v>
      </c>
    </row>
    <row r="542" spans="1:23">
      <c r="A542"/>
      <c r="B542" t="s">
        <v>104</v>
      </c>
      <c r="C542" t="s">
        <v>104</v>
      </c>
      <c r="D542" t="s">
        <v>33</v>
      </c>
      <c r="E542" t="s">
        <v>34</v>
      </c>
      <c r="F542" t="str">
        <f>"0017081"</f>
        <v>0017081</v>
      </c>
      <c r="G542">
        <v>1</v>
      </c>
      <c r="H542" t="str">
        <f>"00000001"</f>
        <v>00000001</v>
      </c>
      <c r="I542" t="s">
        <v>35</v>
      </c>
      <c r="J542"/>
      <c r="K542">
        <v>52.54</v>
      </c>
      <c r="L542">
        <v>0.0</v>
      </c>
      <c r="M542"/>
      <c r="N542"/>
      <c r="O542">
        <v>9.46</v>
      </c>
      <c r="P542">
        <v>0.0</v>
      </c>
      <c r="Q542">
        <v>62.0</v>
      </c>
      <c r="R542"/>
      <c r="S542"/>
      <c r="T542"/>
      <c r="U542"/>
      <c r="V542"/>
      <c r="W542">
        <v>18</v>
      </c>
    </row>
    <row r="543" spans="1:23">
      <c r="A543"/>
      <c r="B543" t="s">
        <v>104</v>
      </c>
      <c r="C543" t="s">
        <v>104</v>
      </c>
      <c r="D543" t="s">
        <v>33</v>
      </c>
      <c r="E543" t="s">
        <v>34</v>
      </c>
      <c r="F543" t="str">
        <f>"0017082"</f>
        <v>0017082</v>
      </c>
      <c r="G543">
        <v>1</v>
      </c>
      <c r="H543" t="str">
        <f>"00000001"</f>
        <v>00000001</v>
      </c>
      <c r="I543" t="s">
        <v>35</v>
      </c>
      <c r="J543"/>
      <c r="K543">
        <v>6.78</v>
      </c>
      <c r="L543">
        <v>0.0</v>
      </c>
      <c r="M543"/>
      <c r="N543"/>
      <c r="O543">
        <v>1.22</v>
      </c>
      <c r="P543">
        <v>0.0</v>
      </c>
      <c r="Q543">
        <v>8.0</v>
      </c>
      <c r="R543"/>
      <c r="S543"/>
      <c r="T543"/>
      <c r="U543"/>
      <c r="V543"/>
      <c r="W543">
        <v>18</v>
      </c>
    </row>
    <row r="544" spans="1:23">
      <c r="A544"/>
      <c r="B544" t="s">
        <v>104</v>
      </c>
      <c r="C544" t="s">
        <v>104</v>
      </c>
      <c r="D544" t="s">
        <v>33</v>
      </c>
      <c r="E544" t="s">
        <v>34</v>
      </c>
      <c r="F544" t="str">
        <f>"0017083"</f>
        <v>0017083</v>
      </c>
      <c r="G544">
        <v>1</v>
      </c>
      <c r="H544" t="str">
        <f>"00000001"</f>
        <v>00000001</v>
      </c>
      <c r="I544" t="s">
        <v>35</v>
      </c>
      <c r="J544"/>
      <c r="K544">
        <v>39.83</v>
      </c>
      <c r="L544">
        <v>0.0</v>
      </c>
      <c r="M544"/>
      <c r="N544"/>
      <c r="O544">
        <v>7.17</v>
      </c>
      <c r="P544">
        <v>0.0</v>
      </c>
      <c r="Q544">
        <v>47.0</v>
      </c>
      <c r="R544"/>
      <c r="S544"/>
      <c r="T544"/>
      <c r="U544"/>
      <c r="V544"/>
      <c r="W544">
        <v>18</v>
      </c>
    </row>
    <row r="545" spans="1:23">
      <c r="A545"/>
      <c r="B545" t="s">
        <v>104</v>
      </c>
      <c r="C545" t="s">
        <v>104</v>
      </c>
      <c r="D545" t="s">
        <v>33</v>
      </c>
      <c r="E545" t="s">
        <v>34</v>
      </c>
      <c r="F545" t="str">
        <f>"0017084"</f>
        <v>0017084</v>
      </c>
      <c r="G545">
        <v>1</v>
      </c>
      <c r="H545" t="str">
        <f>"00000001"</f>
        <v>00000001</v>
      </c>
      <c r="I545" t="s">
        <v>35</v>
      </c>
      <c r="J545"/>
      <c r="K545">
        <v>77.97</v>
      </c>
      <c r="L545">
        <v>0.0</v>
      </c>
      <c r="M545"/>
      <c r="N545"/>
      <c r="O545">
        <v>14.03</v>
      </c>
      <c r="P545">
        <v>0.0</v>
      </c>
      <c r="Q545">
        <v>92.0</v>
      </c>
      <c r="R545"/>
      <c r="S545"/>
      <c r="T545"/>
      <c r="U545"/>
      <c r="V545"/>
      <c r="W545">
        <v>18</v>
      </c>
    </row>
    <row r="546" spans="1:23">
      <c r="A546"/>
      <c r="B546" t="s">
        <v>104</v>
      </c>
      <c r="C546" t="s">
        <v>104</v>
      </c>
      <c r="D546" t="s">
        <v>33</v>
      </c>
      <c r="E546" t="s">
        <v>34</v>
      </c>
      <c r="F546" t="str">
        <f>"0017085"</f>
        <v>0017085</v>
      </c>
      <c r="G546">
        <v>1</v>
      </c>
      <c r="H546" t="str">
        <f>"00000001"</f>
        <v>00000001</v>
      </c>
      <c r="I546" t="s">
        <v>35</v>
      </c>
      <c r="J546"/>
      <c r="K546">
        <v>8.47</v>
      </c>
      <c r="L546">
        <v>0.0</v>
      </c>
      <c r="M546"/>
      <c r="N546"/>
      <c r="O546">
        <v>1.53</v>
      </c>
      <c r="P546">
        <v>0.0</v>
      </c>
      <c r="Q546">
        <v>10.0</v>
      </c>
      <c r="R546"/>
      <c r="S546"/>
      <c r="T546"/>
      <c r="U546"/>
      <c r="V546"/>
      <c r="W546">
        <v>18</v>
      </c>
    </row>
    <row r="547" spans="1:23">
      <c r="A547"/>
      <c r="B547" t="s">
        <v>104</v>
      </c>
      <c r="C547" t="s">
        <v>104</v>
      </c>
      <c r="D547" t="s">
        <v>33</v>
      </c>
      <c r="E547" t="s">
        <v>34</v>
      </c>
      <c r="F547" t="str">
        <f>"0017086"</f>
        <v>0017086</v>
      </c>
      <c r="G547">
        <v>1</v>
      </c>
      <c r="H547" t="str">
        <f>"00000001"</f>
        <v>00000001</v>
      </c>
      <c r="I547" t="s">
        <v>35</v>
      </c>
      <c r="J547"/>
      <c r="K547">
        <v>1.69</v>
      </c>
      <c r="L547">
        <v>0.0</v>
      </c>
      <c r="M547"/>
      <c r="N547"/>
      <c r="O547">
        <v>0.31</v>
      </c>
      <c r="P547">
        <v>0.0</v>
      </c>
      <c r="Q547">
        <v>2.0</v>
      </c>
      <c r="R547"/>
      <c r="S547"/>
      <c r="T547"/>
      <c r="U547"/>
      <c r="V547"/>
      <c r="W547">
        <v>18</v>
      </c>
    </row>
    <row r="548" spans="1:23">
      <c r="A548"/>
      <c r="B548" t="s">
        <v>104</v>
      </c>
      <c r="C548" t="s">
        <v>104</v>
      </c>
      <c r="D548" t="s">
        <v>33</v>
      </c>
      <c r="E548" t="s">
        <v>34</v>
      </c>
      <c r="F548" t="str">
        <f>"0017087"</f>
        <v>0017087</v>
      </c>
      <c r="G548">
        <v>1</v>
      </c>
      <c r="H548" t="str">
        <f>"00000001"</f>
        <v>00000001</v>
      </c>
      <c r="I548" t="s">
        <v>35</v>
      </c>
      <c r="J548"/>
      <c r="K548">
        <v>13.98</v>
      </c>
      <c r="L548">
        <v>0.0</v>
      </c>
      <c r="M548"/>
      <c r="N548"/>
      <c r="O548">
        <v>2.52</v>
      </c>
      <c r="P548">
        <v>0.0</v>
      </c>
      <c r="Q548">
        <v>16.5</v>
      </c>
      <c r="R548"/>
      <c r="S548"/>
      <c r="T548"/>
      <c r="U548"/>
      <c r="V548"/>
      <c r="W548">
        <v>18</v>
      </c>
    </row>
    <row r="549" spans="1:23">
      <c r="A549"/>
      <c r="B549" t="s">
        <v>104</v>
      </c>
      <c r="C549" t="s">
        <v>104</v>
      </c>
      <c r="D549" t="s">
        <v>33</v>
      </c>
      <c r="E549" t="s">
        <v>34</v>
      </c>
      <c r="F549" t="str">
        <f>"0017088"</f>
        <v>0017088</v>
      </c>
      <c r="G549">
        <v>1</v>
      </c>
      <c r="H549" t="str">
        <f>"00000001"</f>
        <v>00000001</v>
      </c>
      <c r="I549" t="s">
        <v>35</v>
      </c>
      <c r="J549"/>
      <c r="K549">
        <v>13.56</v>
      </c>
      <c r="L549">
        <v>0.0</v>
      </c>
      <c r="M549"/>
      <c r="N549"/>
      <c r="O549">
        <v>2.44</v>
      </c>
      <c r="P549">
        <v>0.0</v>
      </c>
      <c r="Q549">
        <v>16.0</v>
      </c>
      <c r="R549"/>
      <c r="S549"/>
      <c r="T549"/>
      <c r="U549"/>
      <c r="V549"/>
      <c r="W549">
        <v>18</v>
      </c>
    </row>
    <row r="550" spans="1:23">
      <c r="A550"/>
      <c r="B550" t="s">
        <v>104</v>
      </c>
      <c r="C550" t="s">
        <v>104</v>
      </c>
      <c r="D550" t="s">
        <v>33</v>
      </c>
      <c r="E550" t="s">
        <v>34</v>
      </c>
      <c r="F550" t="str">
        <f>"0017089"</f>
        <v>0017089</v>
      </c>
      <c r="G550">
        <v>1</v>
      </c>
      <c r="H550" t="str">
        <f>"00000001"</f>
        <v>00000001</v>
      </c>
      <c r="I550" t="s">
        <v>35</v>
      </c>
      <c r="J550"/>
      <c r="K550">
        <v>5.08</v>
      </c>
      <c r="L550">
        <v>0.0</v>
      </c>
      <c r="M550"/>
      <c r="N550"/>
      <c r="O550">
        <v>0.92</v>
      </c>
      <c r="P550">
        <v>0.0</v>
      </c>
      <c r="Q550">
        <v>6.0</v>
      </c>
      <c r="R550"/>
      <c r="S550"/>
      <c r="T550"/>
      <c r="U550"/>
      <c r="V550"/>
      <c r="W550">
        <v>18</v>
      </c>
    </row>
    <row r="551" spans="1:23">
      <c r="A551"/>
      <c r="B551" t="s">
        <v>104</v>
      </c>
      <c r="C551" t="s">
        <v>104</v>
      </c>
      <c r="D551" t="s">
        <v>33</v>
      </c>
      <c r="E551" t="s">
        <v>34</v>
      </c>
      <c r="F551" t="str">
        <f>"0017090"</f>
        <v>0017090</v>
      </c>
      <c r="G551">
        <v>1</v>
      </c>
      <c r="H551" t="str">
        <f>"00000001"</f>
        <v>00000001</v>
      </c>
      <c r="I551" t="s">
        <v>35</v>
      </c>
      <c r="J551"/>
      <c r="K551">
        <v>21.19</v>
      </c>
      <c r="L551">
        <v>0.0</v>
      </c>
      <c r="M551"/>
      <c r="N551"/>
      <c r="O551">
        <v>3.81</v>
      </c>
      <c r="P551">
        <v>0.0</v>
      </c>
      <c r="Q551">
        <v>25.0</v>
      </c>
      <c r="R551"/>
      <c r="S551"/>
      <c r="T551"/>
      <c r="U551"/>
      <c r="V551"/>
      <c r="W551">
        <v>18</v>
      </c>
    </row>
    <row r="552" spans="1:23">
      <c r="A552"/>
      <c r="B552" t="s">
        <v>104</v>
      </c>
      <c r="C552" t="s">
        <v>104</v>
      </c>
      <c r="D552" t="s">
        <v>33</v>
      </c>
      <c r="E552" t="s">
        <v>34</v>
      </c>
      <c r="F552" t="str">
        <f>"0017091"</f>
        <v>0017091</v>
      </c>
      <c r="G552">
        <v>1</v>
      </c>
      <c r="H552" t="str">
        <f>"00000001"</f>
        <v>00000001</v>
      </c>
      <c r="I552" t="s">
        <v>35</v>
      </c>
      <c r="J552"/>
      <c r="K552">
        <v>15.25</v>
      </c>
      <c r="L552">
        <v>0.0</v>
      </c>
      <c r="M552"/>
      <c r="N552"/>
      <c r="O552">
        <v>2.75</v>
      </c>
      <c r="P552">
        <v>0.0</v>
      </c>
      <c r="Q552">
        <v>18.0</v>
      </c>
      <c r="R552"/>
      <c r="S552"/>
      <c r="T552"/>
      <c r="U552"/>
      <c r="V552"/>
      <c r="W552">
        <v>18</v>
      </c>
    </row>
    <row r="553" spans="1:23">
      <c r="A553"/>
      <c r="B553" t="s">
        <v>104</v>
      </c>
      <c r="C553" t="s">
        <v>104</v>
      </c>
      <c r="D553" t="s">
        <v>33</v>
      </c>
      <c r="E553" t="s">
        <v>34</v>
      </c>
      <c r="F553" t="str">
        <f>"0017092"</f>
        <v>0017092</v>
      </c>
      <c r="G553">
        <v>1</v>
      </c>
      <c r="H553" t="str">
        <f>"00000001"</f>
        <v>00000001</v>
      </c>
      <c r="I553" t="s">
        <v>35</v>
      </c>
      <c r="J553"/>
      <c r="K553">
        <v>1.27</v>
      </c>
      <c r="L553">
        <v>0.0</v>
      </c>
      <c r="M553"/>
      <c r="N553"/>
      <c r="O553">
        <v>0.23</v>
      </c>
      <c r="P553">
        <v>0.0</v>
      </c>
      <c r="Q553">
        <v>1.5</v>
      </c>
      <c r="R553"/>
      <c r="S553"/>
      <c r="T553"/>
      <c r="U553"/>
      <c r="V553"/>
      <c r="W553">
        <v>18</v>
      </c>
    </row>
    <row r="554" spans="1:23">
      <c r="A554"/>
      <c r="B554" t="s">
        <v>104</v>
      </c>
      <c r="C554" t="s">
        <v>104</v>
      </c>
      <c r="D554" t="s">
        <v>33</v>
      </c>
      <c r="E554" t="s">
        <v>34</v>
      </c>
      <c r="F554" t="str">
        <f>"0017093"</f>
        <v>0017093</v>
      </c>
      <c r="G554">
        <v>1</v>
      </c>
      <c r="H554" t="str">
        <f>"00000001"</f>
        <v>00000001</v>
      </c>
      <c r="I554" t="s">
        <v>35</v>
      </c>
      <c r="J554"/>
      <c r="K554">
        <v>16.95</v>
      </c>
      <c r="L554">
        <v>0.0</v>
      </c>
      <c r="M554"/>
      <c r="N554"/>
      <c r="O554">
        <v>3.05</v>
      </c>
      <c r="P554">
        <v>0.0</v>
      </c>
      <c r="Q554">
        <v>20.0</v>
      </c>
      <c r="R554"/>
      <c r="S554"/>
      <c r="T554"/>
      <c r="U554"/>
      <c r="V554"/>
      <c r="W554">
        <v>18</v>
      </c>
    </row>
    <row r="555" spans="1:23">
      <c r="A555"/>
      <c r="B555" t="s">
        <v>104</v>
      </c>
      <c r="C555" t="s">
        <v>104</v>
      </c>
      <c r="D555" t="s">
        <v>33</v>
      </c>
      <c r="E555" t="s">
        <v>34</v>
      </c>
      <c r="F555" t="str">
        <f>"0017094"</f>
        <v>0017094</v>
      </c>
      <c r="G555">
        <v>1</v>
      </c>
      <c r="H555" t="str">
        <f>"00000001"</f>
        <v>00000001</v>
      </c>
      <c r="I555" t="s">
        <v>35</v>
      </c>
      <c r="J555"/>
      <c r="K555">
        <v>6.78</v>
      </c>
      <c r="L555">
        <v>0.0</v>
      </c>
      <c r="M555"/>
      <c r="N555"/>
      <c r="O555">
        <v>1.22</v>
      </c>
      <c r="P555">
        <v>0.0</v>
      </c>
      <c r="Q555">
        <v>8.0</v>
      </c>
      <c r="R555"/>
      <c r="S555"/>
      <c r="T555"/>
      <c r="U555"/>
      <c r="V555"/>
      <c r="W555">
        <v>18</v>
      </c>
    </row>
    <row r="556" spans="1:23">
      <c r="A556"/>
      <c r="B556" t="s">
        <v>104</v>
      </c>
      <c r="C556" t="s">
        <v>104</v>
      </c>
      <c r="D556" t="s">
        <v>33</v>
      </c>
      <c r="E556" t="s">
        <v>34</v>
      </c>
      <c r="F556" t="str">
        <f>"0017095"</f>
        <v>0017095</v>
      </c>
      <c r="G556">
        <v>1</v>
      </c>
      <c r="H556" t="str">
        <f>"00000001"</f>
        <v>00000001</v>
      </c>
      <c r="I556" t="s">
        <v>35</v>
      </c>
      <c r="J556"/>
      <c r="K556">
        <v>8.47</v>
      </c>
      <c r="L556">
        <v>0.0</v>
      </c>
      <c r="M556"/>
      <c r="N556"/>
      <c r="O556">
        <v>1.53</v>
      </c>
      <c r="P556">
        <v>0.0</v>
      </c>
      <c r="Q556">
        <v>10.0</v>
      </c>
      <c r="R556"/>
      <c r="S556"/>
      <c r="T556"/>
      <c r="U556"/>
      <c r="V556"/>
      <c r="W556">
        <v>18</v>
      </c>
    </row>
    <row r="557" spans="1:23">
      <c r="A557"/>
      <c r="B557" t="s">
        <v>104</v>
      </c>
      <c r="C557" t="s">
        <v>104</v>
      </c>
      <c r="D557" t="s">
        <v>36</v>
      </c>
      <c r="E557" t="s">
        <v>37</v>
      </c>
      <c r="F557" t="str">
        <f>"0001384"</f>
        <v>0001384</v>
      </c>
      <c r="G557">
        <v>6</v>
      </c>
      <c r="H557" t="str">
        <f>"20613539116"</f>
        <v>20613539116</v>
      </c>
      <c r="I557" t="s">
        <v>71</v>
      </c>
      <c r="J557"/>
      <c r="K557">
        <v>30.51</v>
      </c>
      <c r="L557">
        <v>0.0</v>
      </c>
      <c r="M557"/>
      <c r="N557"/>
      <c r="O557">
        <v>5.49</v>
      </c>
      <c r="P557">
        <v>0.0</v>
      </c>
      <c r="Q557">
        <v>36.0</v>
      </c>
      <c r="R557"/>
      <c r="S557"/>
      <c r="T557"/>
      <c r="U557"/>
      <c r="V557"/>
      <c r="W557">
        <v>18</v>
      </c>
    </row>
    <row r="558" spans="1:23">
      <c r="A558"/>
      <c r="B558" t="s">
        <v>104</v>
      </c>
      <c r="C558" t="s">
        <v>104</v>
      </c>
      <c r="D558" t="s">
        <v>33</v>
      </c>
      <c r="E558" t="s">
        <v>34</v>
      </c>
      <c r="F558" t="str">
        <f>"0017096"</f>
        <v>0017096</v>
      </c>
      <c r="G558">
        <v>1</v>
      </c>
      <c r="H558" t="str">
        <f>"00000001"</f>
        <v>00000001</v>
      </c>
      <c r="I558" t="s">
        <v>35</v>
      </c>
      <c r="J558"/>
      <c r="K558">
        <v>4.24</v>
      </c>
      <c r="L558">
        <v>0.0</v>
      </c>
      <c r="M558"/>
      <c r="N558"/>
      <c r="O558">
        <v>0.76</v>
      </c>
      <c r="P558">
        <v>0.0</v>
      </c>
      <c r="Q558">
        <v>5.0</v>
      </c>
      <c r="R558"/>
      <c r="S558"/>
      <c r="T558"/>
      <c r="U558"/>
      <c r="V558"/>
      <c r="W558">
        <v>18</v>
      </c>
    </row>
    <row r="559" spans="1:23">
      <c r="A559"/>
      <c r="B559" t="s">
        <v>104</v>
      </c>
      <c r="C559" t="s">
        <v>104</v>
      </c>
      <c r="D559" t="s">
        <v>33</v>
      </c>
      <c r="E559" t="s">
        <v>34</v>
      </c>
      <c r="F559" t="str">
        <f>"0017097"</f>
        <v>0017097</v>
      </c>
      <c r="G559">
        <v>1</v>
      </c>
      <c r="H559" t="str">
        <f>"00000001"</f>
        <v>00000001</v>
      </c>
      <c r="I559" t="s">
        <v>35</v>
      </c>
      <c r="J559"/>
      <c r="K559">
        <v>22.46</v>
      </c>
      <c r="L559">
        <v>0.0</v>
      </c>
      <c r="M559"/>
      <c r="N559"/>
      <c r="O559">
        <v>4.04</v>
      </c>
      <c r="P559">
        <v>0.0</v>
      </c>
      <c r="Q559">
        <v>26.5</v>
      </c>
      <c r="R559"/>
      <c r="S559"/>
      <c r="T559"/>
      <c r="U559"/>
      <c r="V559"/>
      <c r="W559">
        <v>18</v>
      </c>
    </row>
    <row r="560" spans="1:23">
      <c r="A560"/>
      <c r="B560" t="s">
        <v>104</v>
      </c>
      <c r="C560" t="s">
        <v>104</v>
      </c>
      <c r="D560" t="s">
        <v>33</v>
      </c>
      <c r="E560" t="s">
        <v>34</v>
      </c>
      <c r="F560" t="str">
        <f>"0017098"</f>
        <v>0017098</v>
      </c>
      <c r="G560">
        <v>1</v>
      </c>
      <c r="H560" t="str">
        <f>"00000001"</f>
        <v>00000001</v>
      </c>
      <c r="I560" t="s">
        <v>35</v>
      </c>
      <c r="J560"/>
      <c r="K560">
        <v>16.95</v>
      </c>
      <c r="L560">
        <v>0.0</v>
      </c>
      <c r="M560"/>
      <c r="N560"/>
      <c r="O560">
        <v>3.05</v>
      </c>
      <c r="P560">
        <v>0.0</v>
      </c>
      <c r="Q560">
        <v>20.0</v>
      </c>
      <c r="R560"/>
      <c r="S560"/>
      <c r="T560"/>
      <c r="U560"/>
      <c r="V560"/>
      <c r="W560">
        <v>18</v>
      </c>
    </row>
    <row r="561" spans="1:23">
      <c r="A561"/>
      <c r="B561" t="s">
        <v>104</v>
      </c>
      <c r="C561" t="s">
        <v>104</v>
      </c>
      <c r="D561" t="s">
        <v>33</v>
      </c>
      <c r="E561" t="s">
        <v>34</v>
      </c>
      <c r="F561" t="str">
        <f>"0017099"</f>
        <v>0017099</v>
      </c>
      <c r="G561">
        <v>1</v>
      </c>
      <c r="H561" t="str">
        <f>"00000001"</f>
        <v>00000001</v>
      </c>
      <c r="I561" t="s">
        <v>35</v>
      </c>
      <c r="J561"/>
      <c r="K561">
        <v>8.47</v>
      </c>
      <c r="L561">
        <v>0.0</v>
      </c>
      <c r="M561"/>
      <c r="N561"/>
      <c r="O561">
        <v>1.53</v>
      </c>
      <c r="P561">
        <v>0.0</v>
      </c>
      <c r="Q561">
        <v>10.0</v>
      </c>
      <c r="R561"/>
      <c r="S561"/>
      <c r="T561"/>
      <c r="U561"/>
      <c r="V561"/>
      <c r="W561">
        <v>18</v>
      </c>
    </row>
    <row r="562" spans="1:23">
      <c r="A562"/>
      <c r="B562" t="s">
        <v>104</v>
      </c>
      <c r="C562" t="s">
        <v>104</v>
      </c>
      <c r="D562" t="s">
        <v>33</v>
      </c>
      <c r="E562" t="s">
        <v>34</v>
      </c>
      <c r="F562" t="str">
        <f>"0017100"</f>
        <v>0017100</v>
      </c>
      <c r="G562">
        <v>1</v>
      </c>
      <c r="H562" t="str">
        <f>"00000001"</f>
        <v>00000001</v>
      </c>
      <c r="I562" t="s">
        <v>35</v>
      </c>
      <c r="J562"/>
      <c r="K562">
        <v>8.47</v>
      </c>
      <c r="L562">
        <v>0.0</v>
      </c>
      <c r="M562"/>
      <c r="N562"/>
      <c r="O562">
        <v>1.53</v>
      </c>
      <c r="P562">
        <v>0.0</v>
      </c>
      <c r="Q562">
        <v>10.0</v>
      </c>
      <c r="R562"/>
      <c r="S562"/>
      <c r="T562"/>
      <c r="U562"/>
      <c r="V562"/>
      <c r="W562">
        <v>18</v>
      </c>
    </row>
    <row r="563" spans="1:23">
      <c r="A563"/>
      <c r="B563" t="s">
        <v>104</v>
      </c>
      <c r="C563" t="s">
        <v>104</v>
      </c>
      <c r="D563" t="s">
        <v>33</v>
      </c>
      <c r="E563" t="s">
        <v>34</v>
      </c>
      <c r="F563" t="str">
        <f>"0017101"</f>
        <v>0017101</v>
      </c>
      <c r="G563">
        <v>1</v>
      </c>
      <c r="H563" t="str">
        <f>"00000001"</f>
        <v>00000001</v>
      </c>
      <c r="I563" t="s">
        <v>35</v>
      </c>
      <c r="J563"/>
      <c r="K563">
        <v>13.56</v>
      </c>
      <c r="L563">
        <v>0.0</v>
      </c>
      <c r="M563"/>
      <c r="N563"/>
      <c r="O563">
        <v>2.44</v>
      </c>
      <c r="P563">
        <v>0.0</v>
      </c>
      <c r="Q563">
        <v>16.0</v>
      </c>
      <c r="R563"/>
      <c r="S563"/>
      <c r="T563"/>
      <c r="U563"/>
      <c r="V563"/>
      <c r="W563">
        <v>18</v>
      </c>
    </row>
    <row r="564" spans="1:23">
      <c r="A564"/>
      <c r="B564" t="s">
        <v>104</v>
      </c>
      <c r="C564" t="s">
        <v>104</v>
      </c>
      <c r="D564" t="s">
        <v>33</v>
      </c>
      <c r="E564" t="s">
        <v>34</v>
      </c>
      <c r="F564" t="str">
        <f>"0017102"</f>
        <v>0017102</v>
      </c>
      <c r="G564">
        <v>1</v>
      </c>
      <c r="H564" t="str">
        <f>"00000001"</f>
        <v>00000001</v>
      </c>
      <c r="I564" t="s">
        <v>35</v>
      </c>
      <c r="J564"/>
      <c r="K564">
        <v>1.69</v>
      </c>
      <c r="L564">
        <v>0.0</v>
      </c>
      <c r="M564"/>
      <c r="N564"/>
      <c r="O564">
        <v>0.31</v>
      </c>
      <c r="P564">
        <v>0.0</v>
      </c>
      <c r="Q564">
        <v>2.0</v>
      </c>
      <c r="R564"/>
      <c r="S564"/>
      <c r="T564"/>
      <c r="U564"/>
      <c r="V564"/>
      <c r="W564">
        <v>18</v>
      </c>
    </row>
    <row r="565" spans="1:23">
      <c r="A565"/>
      <c r="B565" t="s">
        <v>104</v>
      </c>
      <c r="C565" t="s">
        <v>104</v>
      </c>
      <c r="D565" t="s">
        <v>33</v>
      </c>
      <c r="E565" t="s">
        <v>34</v>
      </c>
      <c r="F565" t="str">
        <f>"0017103"</f>
        <v>0017103</v>
      </c>
      <c r="G565">
        <v>1</v>
      </c>
      <c r="H565" t="str">
        <f>"00000001"</f>
        <v>00000001</v>
      </c>
      <c r="I565" t="s">
        <v>35</v>
      </c>
      <c r="J565"/>
      <c r="K565">
        <v>20.34</v>
      </c>
      <c r="L565">
        <v>0.0</v>
      </c>
      <c r="M565"/>
      <c r="N565"/>
      <c r="O565">
        <v>3.66</v>
      </c>
      <c r="P565">
        <v>0.0</v>
      </c>
      <c r="Q565">
        <v>24.0</v>
      </c>
      <c r="R565"/>
      <c r="S565"/>
      <c r="T565"/>
      <c r="U565"/>
      <c r="V565"/>
      <c r="W565">
        <v>18</v>
      </c>
    </row>
    <row r="566" spans="1:23">
      <c r="A566"/>
      <c r="B566" t="s">
        <v>104</v>
      </c>
      <c r="C566" t="s">
        <v>104</v>
      </c>
      <c r="D566" t="s">
        <v>33</v>
      </c>
      <c r="E566" t="s">
        <v>34</v>
      </c>
      <c r="F566" t="str">
        <f>"0017104"</f>
        <v>0017104</v>
      </c>
      <c r="G566">
        <v>1</v>
      </c>
      <c r="H566" t="str">
        <f>"00000001"</f>
        <v>00000001</v>
      </c>
      <c r="I566" t="s">
        <v>35</v>
      </c>
      <c r="J566"/>
      <c r="K566">
        <v>8.47</v>
      </c>
      <c r="L566">
        <v>0.0</v>
      </c>
      <c r="M566"/>
      <c r="N566"/>
      <c r="O566">
        <v>1.53</v>
      </c>
      <c r="P566">
        <v>0.0</v>
      </c>
      <c r="Q566">
        <v>10.0</v>
      </c>
      <c r="R566"/>
      <c r="S566"/>
      <c r="T566"/>
      <c r="U566"/>
      <c r="V566"/>
      <c r="W566">
        <v>18</v>
      </c>
    </row>
    <row r="567" spans="1:23">
      <c r="A567"/>
      <c r="B567" t="s">
        <v>104</v>
      </c>
      <c r="C567" t="s">
        <v>104</v>
      </c>
      <c r="D567" t="s">
        <v>33</v>
      </c>
      <c r="E567" t="s">
        <v>34</v>
      </c>
      <c r="F567" t="str">
        <f>"0017105"</f>
        <v>0017105</v>
      </c>
      <c r="G567">
        <v>1</v>
      </c>
      <c r="H567" t="str">
        <f>"00000001"</f>
        <v>00000001</v>
      </c>
      <c r="I567" t="s">
        <v>35</v>
      </c>
      <c r="J567"/>
      <c r="K567">
        <v>5.08</v>
      </c>
      <c r="L567">
        <v>0.0</v>
      </c>
      <c r="M567"/>
      <c r="N567"/>
      <c r="O567">
        <v>0.92</v>
      </c>
      <c r="P567">
        <v>0.0</v>
      </c>
      <c r="Q567">
        <v>6.0</v>
      </c>
      <c r="R567"/>
      <c r="S567"/>
      <c r="T567"/>
      <c r="U567"/>
      <c r="V567"/>
      <c r="W567">
        <v>18</v>
      </c>
    </row>
    <row r="568" spans="1:23">
      <c r="A568"/>
      <c r="B568" t="s">
        <v>104</v>
      </c>
      <c r="C568" t="s">
        <v>104</v>
      </c>
      <c r="D568" t="s">
        <v>33</v>
      </c>
      <c r="E568" t="s">
        <v>34</v>
      </c>
      <c r="F568" t="str">
        <f>"0017106"</f>
        <v>0017106</v>
      </c>
      <c r="G568">
        <v>1</v>
      </c>
      <c r="H568" t="str">
        <f>"00000001"</f>
        <v>00000001</v>
      </c>
      <c r="I568" t="s">
        <v>35</v>
      </c>
      <c r="J568"/>
      <c r="K568">
        <v>83.9</v>
      </c>
      <c r="L568">
        <v>0.0</v>
      </c>
      <c r="M568"/>
      <c r="N568"/>
      <c r="O568">
        <v>15.1</v>
      </c>
      <c r="P568">
        <v>0.0</v>
      </c>
      <c r="Q568">
        <v>99.0</v>
      </c>
      <c r="R568"/>
      <c r="S568"/>
      <c r="T568"/>
      <c r="U568"/>
      <c r="V568"/>
      <c r="W568">
        <v>18</v>
      </c>
    </row>
    <row r="569" spans="1:23">
      <c r="A569"/>
      <c r="B569" t="s">
        <v>104</v>
      </c>
      <c r="C569" t="s">
        <v>104</v>
      </c>
      <c r="D569" t="s">
        <v>33</v>
      </c>
      <c r="E569" t="s">
        <v>34</v>
      </c>
      <c r="F569" t="str">
        <f>"0017107"</f>
        <v>0017107</v>
      </c>
      <c r="G569">
        <v>1</v>
      </c>
      <c r="H569" t="str">
        <f>"00000001"</f>
        <v>00000001</v>
      </c>
      <c r="I569" t="s">
        <v>35</v>
      </c>
      <c r="J569"/>
      <c r="K569">
        <v>112.71</v>
      </c>
      <c r="L569">
        <v>0.0</v>
      </c>
      <c r="M569"/>
      <c r="N569"/>
      <c r="O569">
        <v>20.29</v>
      </c>
      <c r="P569">
        <v>0.0</v>
      </c>
      <c r="Q569">
        <v>133.0</v>
      </c>
      <c r="R569"/>
      <c r="S569"/>
      <c r="T569"/>
      <c r="U569"/>
      <c r="V569"/>
      <c r="W569">
        <v>18</v>
      </c>
    </row>
    <row r="570" spans="1:23">
      <c r="A570"/>
      <c r="B570" t="s">
        <v>105</v>
      </c>
      <c r="C570" t="s">
        <v>105</v>
      </c>
      <c r="D570" t="s">
        <v>33</v>
      </c>
      <c r="E570" t="s">
        <v>34</v>
      </c>
      <c r="F570" t="str">
        <f>"0017108"</f>
        <v>0017108</v>
      </c>
      <c r="G570">
        <v>1</v>
      </c>
      <c r="H570" t="str">
        <f>"00082664"</f>
        <v>00082664</v>
      </c>
      <c r="I570" t="s">
        <v>106</v>
      </c>
      <c r="J570"/>
      <c r="K570">
        <v>25.42</v>
      </c>
      <c r="L570">
        <v>0.0</v>
      </c>
      <c r="M570"/>
      <c r="N570"/>
      <c r="O570">
        <v>4.58</v>
      </c>
      <c r="P570">
        <v>0.0</v>
      </c>
      <c r="Q570">
        <v>30.0</v>
      </c>
      <c r="R570"/>
      <c r="S570"/>
      <c r="T570"/>
      <c r="U570"/>
      <c r="V570"/>
      <c r="W570">
        <v>18</v>
      </c>
    </row>
    <row r="571" spans="1:23">
      <c r="A571"/>
      <c r="B571" t="s">
        <v>105</v>
      </c>
      <c r="C571" t="s">
        <v>105</v>
      </c>
      <c r="D571" t="s">
        <v>33</v>
      </c>
      <c r="E571" t="s">
        <v>34</v>
      </c>
      <c r="F571" t="str">
        <f>"0017109"</f>
        <v>0017109</v>
      </c>
      <c r="G571">
        <v>1</v>
      </c>
      <c r="H571" t="str">
        <f>"00000001"</f>
        <v>00000001</v>
      </c>
      <c r="I571" t="s">
        <v>35</v>
      </c>
      <c r="J571"/>
      <c r="K571">
        <v>4.24</v>
      </c>
      <c r="L571">
        <v>0.0</v>
      </c>
      <c r="M571"/>
      <c r="N571"/>
      <c r="O571">
        <v>0.76</v>
      </c>
      <c r="P571">
        <v>0.0</v>
      </c>
      <c r="Q571">
        <v>5.0</v>
      </c>
      <c r="R571"/>
      <c r="S571"/>
      <c r="T571"/>
      <c r="U571"/>
      <c r="V571"/>
      <c r="W571">
        <v>18</v>
      </c>
    </row>
    <row r="572" spans="1:23">
      <c r="A572"/>
      <c r="B572" t="s">
        <v>105</v>
      </c>
      <c r="C572" t="s">
        <v>105</v>
      </c>
      <c r="D572" t="s">
        <v>33</v>
      </c>
      <c r="E572" t="s">
        <v>34</v>
      </c>
      <c r="F572" t="str">
        <f>"0017110"</f>
        <v>0017110</v>
      </c>
      <c r="G572">
        <v>1</v>
      </c>
      <c r="H572" t="str">
        <f>"00000001"</f>
        <v>00000001</v>
      </c>
      <c r="I572" t="s">
        <v>35</v>
      </c>
      <c r="J572"/>
      <c r="K572">
        <v>15.25</v>
      </c>
      <c r="L572">
        <v>0.0</v>
      </c>
      <c r="M572"/>
      <c r="N572"/>
      <c r="O572">
        <v>2.75</v>
      </c>
      <c r="P572">
        <v>0.0</v>
      </c>
      <c r="Q572">
        <v>18.0</v>
      </c>
      <c r="R572"/>
      <c r="S572"/>
      <c r="T572"/>
      <c r="U572"/>
      <c r="V572"/>
      <c r="W572">
        <v>18</v>
      </c>
    </row>
    <row r="573" spans="1:23">
      <c r="A573"/>
      <c r="B573" t="s">
        <v>105</v>
      </c>
      <c r="C573" t="s">
        <v>105</v>
      </c>
      <c r="D573" t="s">
        <v>33</v>
      </c>
      <c r="E573" t="s">
        <v>34</v>
      </c>
      <c r="F573" t="str">
        <f>"0017111"</f>
        <v>0017111</v>
      </c>
      <c r="G573">
        <v>1</v>
      </c>
      <c r="H573" t="str">
        <f>"00000001"</f>
        <v>00000001</v>
      </c>
      <c r="I573" t="s">
        <v>35</v>
      </c>
      <c r="J573"/>
      <c r="K573">
        <v>10.17</v>
      </c>
      <c r="L573">
        <v>0.0</v>
      </c>
      <c r="M573"/>
      <c r="N573"/>
      <c r="O573">
        <v>1.83</v>
      </c>
      <c r="P573">
        <v>0.0</v>
      </c>
      <c r="Q573">
        <v>12.0</v>
      </c>
      <c r="R573"/>
      <c r="S573"/>
      <c r="T573"/>
      <c r="U573"/>
      <c r="V573"/>
      <c r="W573">
        <v>18</v>
      </c>
    </row>
    <row r="574" spans="1:23">
      <c r="A574"/>
      <c r="B574" t="s">
        <v>105</v>
      </c>
      <c r="C574" t="s">
        <v>105</v>
      </c>
      <c r="D574" t="s">
        <v>33</v>
      </c>
      <c r="E574" t="s">
        <v>34</v>
      </c>
      <c r="F574" t="str">
        <f>"0017112"</f>
        <v>0017112</v>
      </c>
      <c r="G574">
        <v>1</v>
      </c>
      <c r="H574" t="str">
        <f>"00000001"</f>
        <v>00000001</v>
      </c>
      <c r="I574" t="s">
        <v>35</v>
      </c>
      <c r="J574"/>
      <c r="K574">
        <v>30.51</v>
      </c>
      <c r="L574">
        <v>0.0</v>
      </c>
      <c r="M574"/>
      <c r="N574"/>
      <c r="O574">
        <v>5.49</v>
      </c>
      <c r="P574">
        <v>0.0</v>
      </c>
      <c r="Q574">
        <v>36.0</v>
      </c>
      <c r="R574"/>
      <c r="S574"/>
      <c r="T574"/>
      <c r="U574"/>
      <c r="V574"/>
      <c r="W574">
        <v>18</v>
      </c>
    </row>
    <row r="575" spans="1:23">
      <c r="A575"/>
      <c r="B575" t="s">
        <v>105</v>
      </c>
      <c r="C575" t="s">
        <v>105</v>
      </c>
      <c r="D575" t="s">
        <v>33</v>
      </c>
      <c r="E575" t="s">
        <v>34</v>
      </c>
      <c r="F575" t="str">
        <f>"0017113"</f>
        <v>0017113</v>
      </c>
      <c r="G575">
        <v>1</v>
      </c>
      <c r="H575" t="str">
        <f>"00000001"</f>
        <v>00000001</v>
      </c>
      <c r="I575" t="s">
        <v>35</v>
      </c>
      <c r="J575"/>
      <c r="K575">
        <v>10.17</v>
      </c>
      <c r="L575">
        <v>0.0</v>
      </c>
      <c r="M575"/>
      <c r="N575"/>
      <c r="O575">
        <v>1.83</v>
      </c>
      <c r="P575">
        <v>0.0</v>
      </c>
      <c r="Q575">
        <v>12.0</v>
      </c>
      <c r="R575"/>
      <c r="S575"/>
      <c r="T575"/>
      <c r="U575"/>
      <c r="V575"/>
      <c r="W575">
        <v>18</v>
      </c>
    </row>
    <row r="576" spans="1:23">
      <c r="A576"/>
      <c r="B576" t="s">
        <v>105</v>
      </c>
      <c r="C576" t="s">
        <v>105</v>
      </c>
      <c r="D576" t="s">
        <v>33</v>
      </c>
      <c r="E576" t="s">
        <v>34</v>
      </c>
      <c r="F576" t="str">
        <f>"0017114"</f>
        <v>0017114</v>
      </c>
      <c r="G576">
        <v>1</v>
      </c>
      <c r="H576" t="str">
        <f>"00000001"</f>
        <v>00000001</v>
      </c>
      <c r="I576" t="s">
        <v>35</v>
      </c>
      <c r="J576"/>
      <c r="K576">
        <v>33.9</v>
      </c>
      <c r="L576">
        <v>0.0</v>
      </c>
      <c r="M576"/>
      <c r="N576"/>
      <c r="O576">
        <v>6.1</v>
      </c>
      <c r="P576">
        <v>0.0</v>
      </c>
      <c r="Q576">
        <v>40.0</v>
      </c>
      <c r="R576"/>
      <c r="S576"/>
      <c r="T576"/>
      <c r="U576"/>
      <c r="V576"/>
      <c r="W576">
        <v>18</v>
      </c>
    </row>
    <row r="577" spans="1:23">
      <c r="A577"/>
      <c r="B577" t="s">
        <v>105</v>
      </c>
      <c r="C577" t="s">
        <v>105</v>
      </c>
      <c r="D577" t="s">
        <v>33</v>
      </c>
      <c r="E577" t="s">
        <v>34</v>
      </c>
      <c r="F577" t="str">
        <f>"0017115"</f>
        <v>0017115</v>
      </c>
      <c r="G577">
        <v>1</v>
      </c>
      <c r="H577" t="str">
        <f>"00000001"</f>
        <v>00000001</v>
      </c>
      <c r="I577" t="s">
        <v>35</v>
      </c>
      <c r="J577"/>
      <c r="K577">
        <v>12.71</v>
      </c>
      <c r="L577">
        <v>0.0</v>
      </c>
      <c r="M577"/>
      <c r="N577"/>
      <c r="O577">
        <v>2.29</v>
      </c>
      <c r="P577">
        <v>0.0</v>
      </c>
      <c r="Q577">
        <v>15.0</v>
      </c>
      <c r="R577"/>
      <c r="S577"/>
      <c r="T577"/>
      <c r="U577"/>
      <c r="V577"/>
      <c r="W577">
        <v>18</v>
      </c>
    </row>
    <row r="578" spans="1:23">
      <c r="A578"/>
      <c r="B578" t="s">
        <v>105</v>
      </c>
      <c r="C578" t="s">
        <v>105</v>
      </c>
      <c r="D578" t="s">
        <v>33</v>
      </c>
      <c r="E578" t="s">
        <v>34</v>
      </c>
      <c r="F578" t="str">
        <f>"0017116"</f>
        <v>0017116</v>
      </c>
      <c r="G578">
        <v>1</v>
      </c>
      <c r="H578" t="str">
        <f>"00000001"</f>
        <v>00000001</v>
      </c>
      <c r="I578" t="s">
        <v>35</v>
      </c>
      <c r="J578"/>
      <c r="K578">
        <v>84.75</v>
      </c>
      <c r="L578">
        <v>0.0</v>
      </c>
      <c r="M578"/>
      <c r="N578"/>
      <c r="O578">
        <v>15.25</v>
      </c>
      <c r="P578">
        <v>0.0</v>
      </c>
      <c r="Q578">
        <v>100.0</v>
      </c>
      <c r="R578"/>
      <c r="S578"/>
      <c r="T578"/>
      <c r="U578"/>
      <c r="V578"/>
      <c r="W578">
        <v>18</v>
      </c>
    </row>
    <row r="579" spans="1:23">
      <c r="A579"/>
      <c r="B579" t="s">
        <v>105</v>
      </c>
      <c r="C579" t="s">
        <v>105</v>
      </c>
      <c r="D579" t="s">
        <v>33</v>
      </c>
      <c r="E579" t="s">
        <v>34</v>
      </c>
      <c r="F579" t="str">
        <f>"0017117"</f>
        <v>0017117</v>
      </c>
      <c r="G579">
        <v>1</v>
      </c>
      <c r="H579" t="str">
        <f>"00000001"</f>
        <v>00000001</v>
      </c>
      <c r="I579" t="s">
        <v>35</v>
      </c>
      <c r="J579"/>
      <c r="K579">
        <v>67.8</v>
      </c>
      <c r="L579">
        <v>0.0</v>
      </c>
      <c r="M579"/>
      <c r="N579"/>
      <c r="O579">
        <v>12.2</v>
      </c>
      <c r="P579">
        <v>0.0</v>
      </c>
      <c r="Q579">
        <v>80.0</v>
      </c>
      <c r="R579"/>
      <c r="S579"/>
      <c r="T579"/>
      <c r="U579"/>
      <c r="V579"/>
      <c r="W579">
        <v>18</v>
      </c>
    </row>
    <row r="580" spans="1:23">
      <c r="A580"/>
      <c r="B580" t="s">
        <v>105</v>
      </c>
      <c r="C580" t="s">
        <v>105</v>
      </c>
      <c r="D580" t="s">
        <v>33</v>
      </c>
      <c r="E580" t="s">
        <v>34</v>
      </c>
      <c r="F580" t="str">
        <f>"0017118"</f>
        <v>0017118</v>
      </c>
      <c r="G580">
        <v>1</v>
      </c>
      <c r="H580" t="str">
        <f>"00000001"</f>
        <v>00000001</v>
      </c>
      <c r="I580" t="s">
        <v>35</v>
      </c>
      <c r="J580"/>
      <c r="K580">
        <v>25.42</v>
      </c>
      <c r="L580">
        <v>0.0</v>
      </c>
      <c r="M580"/>
      <c r="N580"/>
      <c r="O580">
        <v>4.58</v>
      </c>
      <c r="P580">
        <v>0.0</v>
      </c>
      <c r="Q580">
        <v>30.0</v>
      </c>
      <c r="R580"/>
      <c r="S580"/>
      <c r="T580"/>
      <c r="U580"/>
      <c r="V580"/>
      <c r="W580">
        <v>18</v>
      </c>
    </row>
    <row r="581" spans="1:23">
      <c r="A581"/>
      <c r="B581" t="s">
        <v>105</v>
      </c>
      <c r="C581" t="s">
        <v>105</v>
      </c>
      <c r="D581" t="s">
        <v>33</v>
      </c>
      <c r="E581" t="s">
        <v>34</v>
      </c>
      <c r="F581" t="str">
        <f>"0017119"</f>
        <v>0017119</v>
      </c>
      <c r="G581">
        <v>1</v>
      </c>
      <c r="H581" t="str">
        <f>"00000001"</f>
        <v>00000001</v>
      </c>
      <c r="I581" t="s">
        <v>35</v>
      </c>
      <c r="J581"/>
      <c r="K581">
        <v>33.9</v>
      </c>
      <c r="L581">
        <v>0.0</v>
      </c>
      <c r="M581"/>
      <c r="N581"/>
      <c r="O581">
        <v>6.1</v>
      </c>
      <c r="P581">
        <v>0.0</v>
      </c>
      <c r="Q581">
        <v>40.0</v>
      </c>
      <c r="R581"/>
      <c r="S581"/>
      <c r="T581"/>
      <c r="U581"/>
      <c r="V581"/>
      <c r="W581">
        <v>18</v>
      </c>
    </row>
    <row r="582" spans="1:23">
      <c r="A582"/>
      <c r="B582" t="s">
        <v>105</v>
      </c>
      <c r="C582" t="s">
        <v>105</v>
      </c>
      <c r="D582" t="s">
        <v>33</v>
      </c>
      <c r="E582" t="s">
        <v>34</v>
      </c>
      <c r="F582" t="str">
        <f>"0017120"</f>
        <v>0017120</v>
      </c>
      <c r="G582">
        <v>1</v>
      </c>
      <c r="H582" t="str">
        <f>"00000001"</f>
        <v>00000001</v>
      </c>
      <c r="I582" t="s">
        <v>35</v>
      </c>
      <c r="J582"/>
      <c r="K582">
        <v>457.63</v>
      </c>
      <c r="L582">
        <v>0.0</v>
      </c>
      <c r="M582"/>
      <c r="N582"/>
      <c r="O582">
        <v>82.37</v>
      </c>
      <c r="P582">
        <v>0.0</v>
      </c>
      <c r="Q582">
        <v>540.0</v>
      </c>
      <c r="R582"/>
      <c r="S582"/>
      <c r="T582"/>
      <c r="U582"/>
      <c r="V582"/>
      <c r="W582">
        <v>18</v>
      </c>
    </row>
    <row r="583" spans="1:23">
      <c r="A583"/>
      <c r="B583" t="s">
        <v>105</v>
      </c>
      <c r="C583" t="s">
        <v>105</v>
      </c>
      <c r="D583" t="s">
        <v>33</v>
      </c>
      <c r="E583" t="s">
        <v>34</v>
      </c>
      <c r="F583" t="str">
        <f>"0017121"</f>
        <v>0017121</v>
      </c>
      <c r="G583">
        <v>1</v>
      </c>
      <c r="H583" t="str">
        <f>"00000001"</f>
        <v>00000001</v>
      </c>
      <c r="I583" t="s">
        <v>35</v>
      </c>
      <c r="J583"/>
      <c r="K583">
        <v>25.42</v>
      </c>
      <c r="L583">
        <v>0.0</v>
      </c>
      <c r="M583"/>
      <c r="N583"/>
      <c r="O583">
        <v>4.58</v>
      </c>
      <c r="P583">
        <v>0.0</v>
      </c>
      <c r="Q583">
        <v>30.0</v>
      </c>
      <c r="R583"/>
      <c r="S583"/>
      <c r="T583"/>
      <c r="U583"/>
      <c r="V583"/>
      <c r="W583">
        <v>18</v>
      </c>
    </row>
    <row r="584" spans="1:23">
      <c r="A584"/>
      <c r="B584" t="s">
        <v>105</v>
      </c>
      <c r="C584" t="s">
        <v>105</v>
      </c>
      <c r="D584" t="s">
        <v>33</v>
      </c>
      <c r="E584" t="s">
        <v>34</v>
      </c>
      <c r="F584" t="str">
        <f>"0017122"</f>
        <v>0017122</v>
      </c>
      <c r="G584">
        <v>1</v>
      </c>
      <c r="H584" t="str">
        <f>"00000001"</f>
        <v>00000001</v>
      </c>
      <c r="I584" t="s">
        <v>35</v>
      </c>
      <c r="J584"/>
      <c r="K584">
        <v>3.39</v>
      </c>
      <c r="L584">
        <v>0.0</v>
      </c>
      <c r="M584"/>
      <c r="N584"/>
      <c r="O584">
        <v>0.61</v>
      </c>
      <c r="P584">
        <v>0.0</v>
      </c>
      <c r="Q584">
        <v>4.0</v>
      </c>
      <c r="R584"/>
      <c r="S584"/>
      <c r="T584"/>
      <c r="U584"/>
      <c r="V584"/>
      <c r="W584">
        <v>18</v>
      </c>
    </row>
    <row r="585" spans="1:23">
      <c r="A585"/>
      <c r="B585" t="s">
        <v>105</v>
      </c>
      <c r="C585" t="s">
        <v>105</v>
      </c>
      <c r="D585" t="s">
        <v>33</v>
      </c>
      <c r="E585" t="s">
        <v>34</v>
      </c>
      <c r="F585" t="str">
        <f>"0017123"</f>
        <v>0017123</v>
      </c>
      <c r="G585">
        <v>6</v>
      </c>
      <c r="H585" t="str">
        <f>"20613142313"</f>
        <v>20613142313</v>
      </c>
      <c r="I585" t="s">
        <v>103</v>
      </c>
      <c r="J585"/>
      <c r="K585">
        <v>254.24</v>
      </c>
      <c r="L585">
        <v>0.0</v>
      </c>
      <c r="M585"/>
      <c r="N585"/>
      <c r="O585">
        <v>45.76</v>
      </c>
      <c r="P585">
        <v>0.0</v>
      </c>
      <c r="Q585">
        <v>300.0</v>
      </c>
      <c r="R585"/>
      <c r="S585"/>
      <c r="T585"/>
      <c r="U585"/>
      <c r="V585"/>
      <c r="W585">
        <v>18</v>
      </c>
    </row>
    <row r="586" spans="1:23">
      <c r="A586"/>
      <c r="B586" t="s">
        <v>105</v>
      </c>
      <c r="C586" t="s">
        <v>105</v>
      </c>
      <c r="D586" t="s">
        <v>36</v>
      </c>
      <c r="E586" t="s">
        <v>37</v>
      </c>
      <c r="F586" t="str">
        <f>"0001385"</f>
        <v>0001385</v>
      </c>
      <c r="G586">
        <v>6</v>
      </c>
      <c r="H586" t="str">
        <f>"20608907646"</f>
        <v>20608907646</v>
      </c>
      <c r="I586" t="s">
        <v>107</v>
      </c>
      <c r="J586"/>
      <c r="K586">
        <v>169.49</v>
      </c>
      <c r="L586">
        <v>0.0</v>
      </c>
      <c r="M586"/>
      <c r="N586"/>
      <c r="O586">
        <v>30.51</v>
      </c>
      <c r="P586">
        <v>0.0</v>
      </c>
      <c r="Q586">
        <v>200.0</v>
      </c>
      <c r="R586"/>
      <c r="S586"/>
      <c r="T586"/>
      <c r="U586"/>
      <c r="V586"/>
      <c r="W586">
        <v>18</v>
      </c>
    </row>
    <row r="587" spans="1:23">
      <c r="A587"/>
      <c r="B587" t="s">
        <v>105</v>
      </c>
      <c r="C587" t="s">
        <v>105</v>
      </c>
      <c r="D587" t="s">
        <v>33</v>
      </c>
      <c r="E587" t="s">
        <v>34</v>
      </c>
      <c r="F587" t="str">
        <f>"0017124"</f>
        <v>0017124</v>
      </c>
      <c r="G587">
        <v>6</v>
      </c>
      <c r="H587" t="str">
        <f>"20610600787"</f>
        <v>20610600787</v>
      </c>
      <c r="I587" t="s">
        <v>55</v>
      </c>
      <c r="J587"/>
      <c r="K587">
        <v>42.37</v>
      </c>
      <c r="L587">
        <v>0.0</v>
      </c>
      <c r="M587"/>
      <c r="N587"/>
      <c r="O587">
        <v>7.63</v>
      </c>
      <c r="P587">
        <v>0.0</v>
      </c>
      <c r="Q587">
        <v>50.0</v>
      </c>
      <c r="R587"/>
      <c r="S587"/>
      <c r="T587"/>
      <c r="U587"/>
      <c r="V587"/>
      <c r="W587">
        <v>18</v>
      </c>
    </row>
    <row r="588" spans="1:23">
      <c r="A588"/>
      <c r="B588" t="s">
        <v>105</v>
      </c>
      <c r="C588" t="s">
        <v>105</v>
      </c>
      <c r="D588" t="s">
        <v>33</v>
      </c>
      <c r="E588" t="s">
        <v>34</v>
      </c>
      <c r="F588" t="str">
        <f>"0017125"</f>
        <v>0017125</v>
      </c>
      <c r="G588">
        <v>6</v>
      </c>
      <c r="H588" t="str">
        <f>"20610600787"</f>
        <v>20610600787</v>
      </c>
      <c r="I588" t="s">
        <v>55</v>
      </c>
      <c r="J588"/>
      <c r="K588">
        <v>42.37</v>
      </c>
      <c r="L588">
        <v>0.0</v>
      </c>
      <c r="M588"/>
      <c r="N588"/>
      <c r="O588">
        <v>7.63</v>
      </c>
      <c r="P588">
        <v>0.0</v>
      </c>
      <c r="Q588">
        <v>50.0</v>
      </c>
      <c r="R588"/>
      <c r="S588"/>
      <c r="T588"/>
      <c r="U588"/>
      <c r="V588"/>
      <c r="W588">
        <v>18</v>
      </c>
    </row>
    <row r="589" spans="1:23">
      <c r="A589"/>
      <c r="B589" t="s">
        <v>105</v>
      </c>
      <c r="C589" t="s">
        <v>105</v>
      </c>
      <c r="D589" t="s">
        <v>33</v>
      </c>
      <c r="E589" t="s">
        <v>34</v>
      </c>
      <c r="F589" t="str">
        <f>"0017126"</f>
        <v>0017126</v>
      </c>
      <c r="G589">
        <v>6</v>
      </c>
      <c r="H589" t="str">
        <f>"20610600787"</f>
        <v>20610600787</v>
      </c>
      <c r="I589" t="s">
        <v>55</v>
      </c>
      <c r="J589"/>
      <c r="K589">
        <v>942.92</v>
      </c>
      <c r="L589">
        <v>0.0</v>
      </c>
      <c r="M589"/>
      <c r="N589"/>
      <c r="O589">
        <v>169.72</v>
      </c>
      <c r="P589">
        <v>0.0</v>
      </c>
      <c r="Q589">
        <v>1112.64</v>
      </c>
      <c r="R589"/>
      <c r="S589"/>
      <c r="T589"/>
      <c r="U589"/>
      <c r="V589"/>
      <c r="W589">
        <v>18</v>
      </c>
    </row>
    <row r="590" spans="1:23">
      <c r="A590"/>
      <c r="B590" t="s">
        <v>105</v>
      </c>
      <c r="C590" t="s">
        <v>105</v>
      </c>
      <c r="D590" t="s">
        <v>33</v>
      </c>
      <c r="E590" t="s">
        <v>34</v>
      </c>
      <c r="F590" t="str">
        <f>"0017127"</f>
        <v>0017127</v>
      </c>
      <c r="G590">
        <v>1</v>
      </c>
      <c r="H590" t="str">
        <f>"00000001"</f>
        <v>00000001</v>
      </c>
      <c r="I590" t="s">
        <v>35</v>
      </c>
      <c r="J590"/>
      <c r="K590">
        <v>23.73</v>
      </c>
      <c r="L590">
        <v>0.0</v>
      </c>
      <c r="M590"/>
      <c r="N590"/>
      <c r="O590">
        <v>4.27</v>
      </c>
      <c r="P590">
        <v>0.0</v>
      </c>
      <c r="Q590">
        <v>28.0</v>
      </c>
      <c r="R590"/>
      <c r="S590"/>
      <c r="T590"/>
      <c r="U590"/>
      <c r="V590"/>
      <c r="W590">
        <v>18</v>
      </c>
    </row>
    <row r="591" spans="1:23">
      <c r="A591"/>
      <c r="B591" t="s">
        <v>105</v>
      </c>
      <c r="C591" t="s">
        <v>105</v>
      </c>
      <c r="D591" t="s">
        <v>33</v>
      </c>
      <c r="E591" t="s">
        <v>34</v>
      </c>
      <c r="F591" t="str">
        <f>"0017128"</f>
        <v>0017128</v>
      </c>
      <c r="G591">
        <v>1</v>
      </c>
      <c r="H591" t="str">
        <f>"00000001"</f>
        <v>00000001</v>
      </c>
      <c r="I591" t="s">
        <v>35</v>
      </c>
      <c r="J591"/>
      <c r="K591">
        <v>34.75</v>
      </c>
      <c r="L591">
        <v>0.0</v>
      </c>
      <c r="M591"/>
      <c r="N591"/>
      <c r="O591">
        <v>6.25</v>
      </c>
      <c r="P591">
        <v>0.0</v>
      </c>
      <c r="Q591">
        <v>41.0</v>
      </c>
      <c r="R591"/>
      <c r="S591"/>
      <c r="T591"/>
      <c r="U591"/>
      <c r="V591"/>
      <c r="W591">
        <v>18</v>
      </c>
    </row>
    <row r="592" spans="1:23">
      <c r="A592"/>
      <c r="B592" t="s">
        <v>108</v>
      </c>
      <c r="C592" t="s">
        <v>108</v>
      </c>
      <c r="D592" t="s">
        <v>33</v>
      </c>
      <c r="E592" t="s">
        <v>34</v>
      </c>
      <c r="F592" t="str">
        <f>"0017129"</f>
        <v>0017129</v>
      </c>
      <c r="G592">
        <v>1</v>
      </c>
      <c r="H592" t="str">
        <f>"00000001"</f>
        <v>00000001</v>
      </c>
      <c r="I592" t="s">
        <v>35</v>
      </c>
      <c r="J592"/>
      <c r="K592">
        <v>12.71</v>
      </c>
      <c r="L592">
        <v>0.0</v>
      </c>
      <c r="M592"/>
      <c r="N592"/>
      <c r="O592">
        <v>2.29</v>
      </c>
      <c r="P592">
        <v>0.0</v>
      </c>
      <c r="Q592">
        <v>15.0</v>
      </c>
      <c r="R592"/>
      <c r="S592"/>
      <c r="T592"/>
      <c r="U592"/>
      <c r="V592"/>
      <c r="W592">
        <v>18</v>
      </c>
    </row>
    <row r="593" spans="1:23">
      <c r="A593"/>
      <c r="B593" t="s">
        <v>108</v>
      </c>
      <c r="C593" t="s">
        <v>108</v>
      </c>
      <c r="D593" t="s">
        <v>33</v>
      </c>
      <c r="E593" t="s">
        <v>34</v>
      </c>
      <c r="F593" t="str">
        <f>"0017130"</f>
        <v>0017130</v>
      </c>
      <c r="G593">
        <v>1</v>
      </c>
      <c r="H593" t="str">
        <f>"00000001"</f>
        <v>00000001</v>
      </c>
      <c r="I593" t="s">
        <v>35</v>
      </c>
      <c r="J593"/>
      <c r="K593">
        <v>15.25</v>
      </c>
      <c r="L593">
        <v>0.0</v>
      </c>
      <c r="M593"/>
      <c r="N593"/>
      <c r="O593">
        <v>2.75</v>
      </c>
      <c r="P593">
        <v>0.0</v>
      </c>
      <c r="Q593">
        <v>18.0</v>
      </c>
      <c r="R593"/>
      <c r="S593"/>
      <c r="T593"/>
      <c r="U593"/>
      <c r="V593"/>
      <c r="W593">
        <v>18</v>
      </c>
    </row>
    <row r="594" spans="1:23">
      <c r="A594"/>
      <c r="B594" t="s">
        <v>108</v>
      </c>
      <c r="C594" t="s">
        <v>108</v>
      </c>
      <c r="D594" t="s">
        <v>33</v>
      </c>
      <c r="E594" t="s">
        <v>34</v>
      </c>
      <c r="F594" t="str">
        <f>"0017131"</f>
        <v>0017131</v>
      </c>
      <c r="G594">
        <v>1</v>
      </c>
      <c r="H594" t="str">
        <f>"00000001"</f>
        <v>00000001</v>
      </c>
      <c r="I594" t="s">
        <v>35</v>
      </c>
      <c r="J594"/>
      <c r="K594">
        <v>8.47</v>
      </c>
      <c r="L594">
        <v>0.0</v>
      </c>
      <c r="M594"/>
      <c r="N594"/>
      <c r="O594">
        <v>1.53</v>
      </c>
      <c r="P594">
        <v>0.0</v>
      </c>
      <c r="Q594">
        <v>10.0</v>
      </c>
      <c r="R594"/>
      <c r="S594"/>
      <c r="T594"/>
      <c r="U594"/>
      <c r="V594"/>
      <c r="W594">
        <v>18</v>
      </c>
    </row>
    <row r="595" spans="1:23">
      <c r="A595"/>
      <c r="B595" t="s">
        <v>108</v>
      </c>
      <c r="C595" t="s">
        <v>108</v>
      </c>
      <c r="D595" t="s">
        <v>33</v>
      </c>
      <c r="E595" t="s">
        <v>34</v>
      </c>
      <c r="F595" t="str">
        <f>"0017132"</f>
        <v>0017132</v>
      </c>
      <c r="G595">
        <v>1</v>
      </c>
      <c r="H595" t="str">
        <f>"00000001"</f>
        <v>00000001</v>
      </c>
      <c r="I595" t="s">
        <v>35</v>
      </c>
      <c r="J595"/>
      <c r="K595">
        <v>2.97</v>
      </c>
      <c r="L595">
        <v>0.0</v>
      </c>
      <c r="M595"/>
      <c r="N595"/>
      <c r="O595">
        <v>0.53</v>
      </c>
      <c r="P595">
        <v>0.0</v>
      </c>
      <c r="Q595">
        <v>3.5</v>
      </c>
      <c r="R595"/>
      <c r="S595"/>
      <c r="T595"/>
      <c r="U595"/>
      <c r="V595"/>
      <c r="W595">
        <v>18</v>
      </c>
    </row>
    <row r="596" spans="1:23">
      <c r="A596"/>
      <c r="B596" t="s">
        <v>108</v>
      </c>
      <c r="C596" t="s">
        <v>108</v>
      </c>
      <c r="D596" t="s">
        <v>33</v>
      </c>
      <c r="E596" t="s">
        <v>34</v>
      </c>
      <c r="F596" t="str">
        <f>"0017133"</f>
        <v>0017133</v>
      </c>
      <c r="G596">
        <v>1</v>
      </c>
      <c r="H596" t="str">
        <f>"00000001"</f>
        <v>00000001</v>
      </c>
      <c r="I596" t="s">
        <v>35</v>
      </c>
      <c r="J596"/>
      <c r="K596">
        <v>20.42</v>
      </c>
      <c r="L596">
        <v>0.0</v>
      </c>
      <c r="M596"/>
      <c r="N596"/>
      <c r="O596">
        <v>3.68</v>
      </c>
      <c r="P596">
        <v>0.0</v>
      </c>
      <c r="Q596">
        <v>24.1</v>
      </c>
      <c r="R596"/>
      <c r="S596"/>
      <c r="T596"/>
      <c r="U596"/>
      <c r="V596"/>
      <c r="W596">
        <v>18</v>
      </c>
    </row>
    <row r="597" spans="1:23">
      <c r="A597"/>
      <c r="B597" t="s">
        <v>108</v>
      </c>
      <c r="C597" t="s">
        <v>108</v>
      </c>
      <c r="D597" t="s">
        <v>33</v>
      </c>
      <c r="E597" t="s">
        <v>34</v>
      </c>
      <c r="F597" t="str">
        <f>"0017134"</f>
        <v>0017134</v>
      </c>
      <c r="G597">
        <v>1</v>
      </c>
      <c r="H597" t="str">
        <f>"00000001"</f>
        <v>00000001</v>
      </c>
      <c r="I597" t="s">
        <v>35</v>
      </c>
      <c r="J597"/>
      <c r="K597">
        <v>27.12</v>
      </c>
      <c r="L597">
        <v>0.0</v>
      </c>
      <c r="M597"/>
      <c r="N597"/>
      <c r="O597">
        <v>4.88</v>
      </c>
      <c r="P597">
        <v>0.0</v>
      </c>
      <c r="Q597">
        <v>32.0</v>
      </c>
      <c r="R597"/>
      <c r="S597"/>
      <c r="T597"/>
      <c r="U597"/>
      <c r="V597"/>
      <c r="W597">
        <v>18</v>
      </c>
    </row>
    <row r="598" spans="1:23">
      <c r="A598"/>
      <c r="B598" t="s">
        <v>108</v>
      </c>
      <c r="C598" t="s">
        <v>108</v>
      </c>
      <c r="D598" t="s">
        <v>33</v>
      </c>
      <c r="E598" t="s">
        <v>34</v>
      </c>
      <c r="F598" t="str">
        <f>"0017135"</f>
        <v>0017135</v>
      </c>
      <c r="G598">
        <v>1</v>
      </c>
      <c r="H598" t="str">
        <f>"00000001"</f>
        <v>00000001</v>
      </c>
      <c r="I598" t="s">
        <v>35</v>
      </c>
      <c r="J598"/>
      <c r="K598">
        <v>43.22</v>
      </c>
      <c r="L598">
        <v>0.0</v>
      </c>
      <c r="M598"/>
      <c r="N598"/>
      <c r="O598">
        <v>7.78</v>
      </c>
      <c r="P598">
        <v>0.0</v>
      </c>
      <c r="Q598">
        <v>51.0</v>
      </c>
      <c r="R598"/>
      <c r="S598"/>
      <c r="T598"/>
      <c r="U598"/>
      <c r="V598"/>
      <c r="W598">
        <v>18</v>
      </c>
    </row>
    <row r="599" spans="1:23">
      <c r="A599"/>
      <c r="B599" t="s">
        <v>108</v>
      </c>
      <c r="C599" t="s">
        <v>108</v>
      </c>
      <c r="D599" t="s">
        <v>33</v>
      </c>
      <c r="E599" t="s">
        <v>34</v>
      </c>
      <c r="F599" t="str">
        <f>"0017136"</f>
        <v>0017136</v>
      </c>
      <c r="G599">
        <v>1</v>
      </c>
      <c r="H599" t="str">
        <f>"00000001"</f>
        <v>00000001</v>
      </c>
      <c r="I599" t="s">
        <v>35</v>
      </c>
      <c r="J599"/>
      <c r="K599">
        <v>22.03</v>
      </c>
      <c r="L599">
        <v>0.0</v>
      </c>
      <c r="M599"/>
      <c r="N599"/>
      <c r="O599">
        <v>3.97</v>
      </c>
      <c r="P599">
        <v>0.0</v>
      </c>
      <c r="Q599">
        <v>26.0</v>
      </c>
      <c r="R599"/>
      <c r="S599"/>
      <c r="T599"/>
      <c r="U599"/>
      <c r="V599"/>
      <c r="W599">
        <v>18</v>
      </c>
    </row>
    <row r="600" spans="1:23">
      <c r="A600"/>
      <c r="B600" t="s">
        <v>108</v>
      </c>
      <c r="C600" t="s">
        <v>108</v>
      </c>
      <c r="D600" t="s">
        <v>33</v>
      </c>
      <c r="E600" t="s">
        <v>34</v>
      </c>
      <c r="F600" t="str">
        <f>"0017137"</f>
        <v>0017137</v>
      </c>
      <c r="G600">
        <v>1</v>
      </c>
      <c r="H600" t="str">
        <f>"00000CSL"</f>
        <v>00000CSL</v>
      </c>
      <c r="I600" t="s">
        <v>109</v>
      </c>
      <c r="J600"/>
      <c r="K600">
        <v>16.95</v>
      </c>
      <c r="L600">
        <v>0.0</v>
      </c>
      <c r="M600"/>
      <c r="N600"/>
      <c r="O600">
        <v>3.05</v>
      </c>
      <c r="P600">
        <v>0.0</v>
      </c>
      <c r="Q600">
        <v>20.0</v>
      </c>
      <c r="R600"/>
      <c r="S600"/>
      <c r="T600"/>
      <c r="U600"/>
      <c r="V600"/>
      <c r="W600">
        <v>18</v>
      </c>
    </row>
    <row r="601" spans="1:23">
      <c r="A601"/>
      <c r="B601" t="s">
        <v>108</v>
      </c>
      <c r="C601" t="s">
        <v>108</v>
      </c>
      <c r="D601" t="s">
        <v>33</v>
      </c>
      <c r="E601" t="s">
        <v>34</v>
      </c>
      <c r="F601" t="str">
        <f>"0017138"</f>
        <v>0017138</v>
      </c>
      <c r="G601">
        <v>1</v>
      </c>
      <c r="H601" t="str">
        <f>"00000001"</f>
        <v>00000001</v>
      </c>
      <c r="I601" t="s">
        <v>35</v>
      </c>
      <c r="J601"/>
      <c r="K601">
        <v>13.56</v>
      </c>
      <c r="L601">
        <v>0.0</v>
      </c>
      <c r="M601"/>
      <c r="N601"/>
      <c r="O601">
        <v>2.44</v>
      </c>
      <c r="P601">
        <v>0.0</v>
      </c>
      <c r="Q601">
        <v>16.0</v>
      </c>
      <c r="R601"/>
      <c r="S601"/>
      <c r="T601"/>
      <c r="U601"/>
      <c r="V601"/>
      <c r="W601">
        <v>18</v>
      </c>
    </row>
    <row r="602" spans="1:23">
      <c r="A602"/>
      <c r="B602" t="s">
        <v>108</v>
      </c>
      <c r="C602" t="s">
        <v>108</v>
      </c>
      <c r="D602" t="s">
        <v>33</v>
      </c>
      <c r="E602" t="s">
        <v>34</v>
      </c>
      <c r="F602" t="str">
        <f>"0017139"</f>
        <v>0017139</v>
      </c>
      <c r="G602">
        <v>1</v>
      </c>
      <c r="H602" t="str">
        <f>"00000001"</f>
        <v>00000001</v>
      </c>
      <c r="I602" t="s">
        <v>35</v>
      </c>
      <c r="J602"/>
      <c r="K602">
        <v>12.71</v>
      </c>
      <c r="L602">
        <v>0.0</v>
      </c>
      <c r="M602"/>
      <c r="N602"/>
      <c r="O602">
        <v>2.29</v>
      </c>
      <c r="P602">
        <v>0.0</v>
      </c>
      <c r="Q602">
        <v>15.0</v>
      </c>
      <c r="R602"/>
      <c r="S602"/>
      <c r="T602"/>
      <c r="U602"/>
      <c r="V602"/>
      <c r="W602">
        <v>18</v>
      </c>
    </row>
    <row r="603" spans="1:23">
      <c r="A603"/>
      <c r="B603" t="s">
        <v>108</v>
      </c>
      <c r="C603" t="s">
        <v>108</v>
      </c>
      <c r="D603" t="s">
        <v>33</v>
      </c>
      <c r="E603" t="s">
        <v>34</v>
      </c>
      <c r="F603" t="str">
        <f>"0017140"</f>
        <v>0017140</v>
      </c>
      <c r="G603">
        <v>1</v>
      </c>
      <c r="H603" t="str">
        <f>"47923686"</f>
        <v>47923686</v>
      </c>
      <c r="I603" t="s">
        <v>110</v>
      </c>
      <c r="J603"/>
      <c r="K603">
        <v>24.58</v>
      </c>
      <c r="L603">
        <v>0.0</v>
      </c>
      <c r="M603"/>
      <c r="N603"/>
      <c r="O603">
        <v>4.42</v>
      </c>
      <c r="P603">
        <v>0.0</v>
      </c>
      <c r="Q603">
        <v>29.0</v>
      </c>
      <c r="R603"/>
      <c r="S603"/>
      <c r="T603"/>
      <c r="U603"/>
      <c r="V603"/>
      <c r="W603">
        <v>18</v>
      </c>
    </row>
    <row r="604" spans="1:23">
      <c r="A604"/>
      <c r="B604" t="s">
        <v>108</v>
      </c>
      <c r="C604" t="s">
        <v>108</v>
      </c>
      <c r="D604" t="s">
        <v>33</v>
      </c>
      <c r="E604" t="s">
        <v>34</v>
      </c>
      <c r="F604" t="str">
        <f>"0017141"</f>
        <v>0017141</v>
      </c>
      <c r="G604">
        <v>1</v>
      </c>
      <c r="H604" t="str">
        <f>"00000001"</f>
        <v>00000001</v>
      </c>
      <c r="I604" t="s">
        <v>35</v>
      </c>
      <c r="J604"/>
      <c r="K604">
        <v>53.39</v>
      </c>
      <c r="L604">
        <v>0.0</v>
      </c>
      <c r="M604"/>
      <c r="N604"/>
      <c r="O604">
        <v>9.61</v>
      </c>
      <c r="P604">
        <v>0.0</v>
      </c>
      <c r="Q604">
        <v>63.0</v>
      </c>
      <c r="R604"/>
      <c r="S604"/>
      <c r="T604"/>
      <c r="U604"/>
      <c r="V604"/>
      <c r="W604">
        <v>18</v>
      </c>
    </row>
    <row r="605" spans="1:23">
      <c r="A605"/>
      <c r="B605" t="s">
        <v>108</v>
      </c>
      <c r="C605" t="s">
        <v>108</v>
      </c>
      <c r="D605" t="s">
        <v>33</v>
      </c>
      <c r="E605" t="s">
        <v>34</v>
      </c>
      <c r="F605" t="str">
        <f>"0017142"</f>
        <v>0017142</v>
      </c>
      <c r="G605">
        <v>1</v>
      </c>
      <c r="H605" t="str">
        <f>"00000001"</f>
        <v>00000001</v>
      </c>
      <c r="I605" t="s">
        <v>35</v>
      </c>
      <c r="J605"/>
      <c r="K605">
        <v>6.78</v>
      </c>
      <c r="L605">
        <v>0.0</v>
      </c>
      <c r="M605"/>
      <c r="N605"/>
      <c r="O605">
        <v>1.22</v>
      </c>
      <c r="P605">
        <v>0.0</v>
      </c>
      <c r="Q605">
        <v>8.0</v>
      </c>
      <c r="R605"/>
      <c r="S605"/>
      <c r="T605"/>
      <c r="U605"/>
      <c r="V605"/>
      <c r="W605">
        <v>18</v>
      </c>
    </row>
    <row r="606" spans="1:23">
      <c r="A606"/>
      <c r="B606" t="s">
        <v>108</v>
      </c>
      <c r="C606" t="s">
        <v>108</v>
      </c>
      <c r="D606" t="s">
        <v>33</v>
      </c>
      <c r="E606" t="s">
        <v>34</v>
      </c>
      <c r="F606" t="str">
        <f>"0017143"</f>
        <v>0017143</v>
      </c>
      <c r="G606">
        <v>1</v>
      </c>
      <c r="H606" t="str">
        <f>"00000001"</f>
        <v>00000001</v>
      </c>
      <c r="I606" t="s">
        <v>35</v>
      </c>
      <c r="J606"/>
      <c r="K606">
        <v>10.17</v>
      </c>
      <c r="L606">
        <v>0.0</v>
      </c>
      <c r="M606"/>
      <c r="N606"/>
      <c r="O606">
        <v>1.83</v>
      </c>
      <c r="P606">
        <v>0.0</v>
      </c>
      <c r="Q606">
        <v>12.0</v>
      </c>
      <c r="R606"/>
      <c r="S606"/>
      <c r="T606"/>
      <c r="U606"/>
      <c r="V606"/>
      <c r="W606">
        <v>18</v>
      </c>
    </row>
    <row r="607" spans="1:23">
      <c r="A607"/>
      <c r="B607" t="s">
        <v>108</v>
      </c>
      <c r="C607" t="s">
        <v>108</v>
      </c>
      <c r="D607" t="s">
        <v>33</v>
      </c>
      <c r="E607" t="s">
        <v>34</v>
      </c>
      <c r="F607" t="str">
        <f>"0017144"</f>
        <v>0017144</v>
      </c>
      <c r="G607">
        <v>1</v>
      </c>
      <c r="H607" t="str">
        <f>"00000001"</f>
        <v>00000001</v>
      </c>
      <c r="I607" t="s">
        <v>35</v>
      </c>
      <c r="J607"/>
      <c r="K607">
        <v>10.17</v>
      </c>
      <c r="L607">
        <v>0.0</v>
      </c>
      <c r="M607"/>
      <c r="N607"/>
      <c r="O607">
        <v>1.83</v>
      </c>
      <c r="P607">
        <v>0.0</v>
      </c>
      <c r="Q607">
        <v>12.0</v>
      </c>
      <c r="R607"/>
      <c r="S607"/>
      <c r="T607"/>
      <c r="U607"/>
      <c r="V607"/>
      <c r="W607">
        <v>18</v>
      </c>
    </row>
    <row r="608" spans="1:23">
      <c r="A608"/>
      <c r="B608" t="s">
        <v>108</v>
      </c>
      <c r="C608" t="s">
        <v>108</v>
      </c>
      <c r="D608" t="s">
        <v>33</v>
      </c>
      <c r="E608" t="s">
        <v>34</v>
      </c>
      <c r="F608" t="str">
        <f>"0017145"</f>
        <v>0017145</v>
      </c>
      <c r="G608">
        <v>1</v>
      </c>
      <c r="H608" t="str">
        <f>"00000001"</f>
        <v>00000001</v>
      </c>
      <c r="I608" t="s">
        <v>35</v>
      </c>
      <c r="J608"/>
      <c r="K608">
        <v>3.39</v>
      </c>
      <c r="L608">
        <v>0.0</v>
      </c>
      <c r="M608"/>
      <c r="N608"/>
      <c r="O608">
        <v>0.61</v>
      </c>
      <c r="P608">
        <v>0.0</v>
      </c>
      <c r="Q608">
        <v>4.0</v>
      </c>
      <c r="R608"/>
      <c r="S608"/>
      <c r="T608"/>
      <c r="U608"/>
      <c r="V608"/>
      <c r="W608">
        <v>18</v>
      </c>
    </row>
    <row r="609" spans="1:23">
      <c r="A609"/>
      <c r="B609" t="s">
        <v>108</v>
      </c>
      <c r="C609" t="s">
        <v>108</v>
      </c>
      <c r="D609" t="s">
        <v>33</v>
      </c>
      <c r="E609" t="s">
        <v>34</v>
      </c>
      <c r="F609" t="str">
        <f>"0017146"</f>
        <v>0017146</v>
      </c>
      <c r="G609">
        <v>1</v>
      </c>
      <c r="H609" t="str">
        <f>"00000001"</f>
        <v>00000001</v>
      </c>
      <c r="I609" t="s">
        <v>35</v>
      </c>
      <c r="J609"/>
      <c r="K609">
        <v>23.73</v>
      </c>
      <c r="L609">
        <v>0.0</v>
      </c>
      <c r="M609"/>
      <c r="N609"/>
      <c r="O609">
        <v>4.27</v>
      </c>
      <c r="P609">
        <v>0.0</v>
      </c>
      <c r="Q609">
        <v>28.0</v>
      </c>
      <c r="R609"/>
      <c r="S609"/>
      <c r="T609"/>
      <c r="U609"/>
      <c r="V609"/>
      <c r="W609">
        <v>18</v>
      </c>
    </row>
    <row r="610" spans="1:23">
      <c r="A610"/>
      <c r="B610" t="s">
        <v>108</v>
      </c>
      <c r="C610" t="s">
        <v>108</v>
      </c>
      <c r="D610" t="s">
        <v>33</v>
      </c>
      <c r="E610" t="s">
        <v>34</v>
      </c>
      <c r="F610" t="str">
        <f>"0017147"</f>
        <v>0017147</v>
      </c>
      <c r="G610">
        <v>1</v>
      </c>
      <c r="H610" t="str">
        <f>"00000001"</f>
        <v>00000001</v>
      </c>
      <c r="I610" t="s">
        <v>35</v>
      </c>
      <c r="J610"/>
      <c r="K610">
        <v>33.9</v>
      </c>
      <c r="L610">
        <v>0.0</v>
      </c>
      <c r="M610"/>
      <c r="N610"/>
      <c r="O610">
        <v>6.1</v>
      </c>
      <c r="P610">
        <v>0.0</v>
      </c>
      <c r="Q610">
        <v>40.0</v>
      </c>
      <c r="R610"/>
      <c r="S610"/>
      <c r="T610"/>
      <c r="U610"/>
      <c r="V610"/>
      <c r="W610">
        <v>18</v>
      </c>
    </row>
    <row r="611" spans="1:23">
      <c r="A611"/>
      <c r="B611" t="s">
        <v>108</v>
      </c>
      <c r="C611" t="s">
        <v>108</v>
      </c>
      <c r="D611" t="s">
        <v>33</v>
      </c>
      <c r="E611" t="s">
        <v>34</v>
      </c>
      <c r="F611" t="str">
        <f>"0017148"</f>
        <v>0017148</v>
      </c>
      <c r="G611">
        <v>1</v>
      </c>
      <c r="H611" t="str">
        <f>"00000001"</f>
        <v>00000001</v>
      </c>
      <c r="I611" t="s">
        <v>35</v>
      </c>
      <c r="J611"/>
      <c r="K611">
        <v>5.08</v>
      </c>
      <c r="L611">
        <v>0.0</v>
      </c>
      <c r="M611"/>
      <c r="N611"/>
      <c r="O611">
        <v>0.92</v>
      </c>
      <c r="P611">
        <v>0.0</v>
      </c>
      <c r="Q611">
        <v>6.0</v>
      </c>
      <c r="R611"/>
      <c r="S611"/>
      <c r="T611"/>
      <c r="U611"/>
      <c r="V611"/>
      <c r="W611">
        <v>18</v>
      </c>
    </row>
    <row r="612" spans="1:23">
      <c r="A612"/>
      <c r="B612" t="s">
        <v>108</v>
      </c>
      <c r="C612" t="s">
        <v>108</v>
      </c>
      <c r="D612" t="s">
        <v>33</v>
      </c>
      <c r="E612" t="s">
        <v>34</v>
      </c>
      <c r="F612" t="str">
        <f>"0017149"</f>
        <v>0017149</v>
      </c>
      <c r="G612">
        <v>1</v>
      </c>
      <c r="H612" t="str">
        <f>"00000001"</f>
        <v>00000001</v>
      </c>
      <c r="I612" t="s">
        <v>35</v>
      </c>
      <c r="J612"/>
      <c r="K612">
        <v>6.78</v>
      </c>
      <c r="L612">
        <v>0.0</v>
      </c>
      <c r="M612"/>
      <c r="N612"/>
      <c r="O612">
        <v>1.22</v>
      </c>
      <c r="P612">
        <v>0.0</v>
      </c>
      <c r="Q612">
        <v>8.0</v>
      </c>
      <c r="R612"/>
      <c r="S612"/>
      <c r="T612"/>
      <c r="U612"/>
      <c r="V612"/>
      <c r="W612">
        <v>18</v>
      </c>
    </row>
    <row r="613" spans="1:23">
      <c r="A613"/>
      <c r="B613" t="s">
        <v>108</v>
      </c>
      <c r="C613" t="s">
        <v>108</v>
      </c>
      <c r="D613" t="s">
        <v>33</v>
      </c>
      <c r="E613" t="s">
        <v>34</v>
      </c>
      <c r="F613" t="str">
        <f>"0017150"</f>
        <v>0017150</v>
      </c>
      <c r="G613">
        <v>1</v>
      </c>
      <c r="H613" t="str">
        <f>"00000001"</f>
        <v>00000001</v>
      </c>
      <c r="I613" t="s">
        <v>35</v>
      </c>
      <c r="J613"/>
      <c r="K613">
        <v>9.75</v>
      </c>
      <c r="L613">
        <v>0.0</v>
      </c>
      <c r="M613"/>
      <c r="N613"/>
      <c r="O613">
        <v>1.75</v>
      </c>
      <c r="P613">
        <v>0.0</v>
      </c>
      <c r="Q613">
        <v>11.5</v>
      </c>
      <c r="R613"/>
      <c r="S613"/>
      <c r="T613"/>
      <c r="U613"/>
      <c r="V613"/>
      <c r="W613">
        <v>18</v>
      </c>
    </row>
    <row r="614" spans="1:23">
      <c r="A614"/>
      <c r="B614" t="s">
        <v>108</v>
      </c>
      <c r="C614" t="s">
        <v>108</v>
      </c>
      <c r="D614" t="s">
        <v>33</v>
      </c>
      <c r="E614" t="s">
        <v>34</v>
      </c>
      <c r="F614" t="str">
        <f>"0017151"</f>
        <v>0017151</v>
      </c>
      <c r="G614">
        <v>1</v>
      </c>
      <c r="H614" t="str">
        <f>"00000001"</f>
        <v>00000001</v>
      </c>
      <c r="I614" t="s">
        <v>35</v>
      </c>
      <c r="J614"/>
      <c r="K614">
        <v>20.34</v>
      </c>
      <c r="L614">
        <v>0.0</v>
      </c>
      <c r="M614"/>
      <c r="N614"/>
      <c r="O614">
        <v>3.66</v>
      </c>
      <c r="P614">
        <v>0.0</v>
      </c>
      <c r="Q614">
        <v>24.0</v>
      </c>
      <c r="R614"/>
      <c r="S614"/>
      <c r="T614"/>
      <c r="U614"/>
      <c r="V614"/>
      <c r="W614">
        <v>18</v>
      </c>
    </row>
    <row r="615" spans="1:23">
      <c r="A615"/>
      <c r="B615" t="s">
        <v>108</v>
      </c>
      <c r="C615" t="s">
        <v>108</v>
      </c>
      <c r="D615" t="s">
        <v>33</v>
      </c>
      <c r="E615" t="s">
        <v>34</v>
      </c>
      <c r="F615" t="str">
        <f>"0017152"</f>
        <v>0017152</v>
      </c>
      <c r="G615">
        <v>1</v>
      </c>
      <c r="H615" t="str">
        <f>"00000001"</f>
        <v>00000001</v>
      </c>
      <c r="I615" t="s">
        <v>35</v>
      </c>
      <c r="J615"/>
      <c r="K615">
        <v>10.17</v>
      </c>
      <c r="L615">
        <v>0.0</v>
      </c>
      <c r="M615"/>
      <c r="N615"/>
      <c r="O615">
        <v>1.83</v>
      </c>
      <c r="P615">
        <v>0.0</v>
      </c>
      <c r="Q615">
        <v>12.0</v>
      </c>
      <c r="R615"/>
      <c r="S615"/>
      <c r="T615"/>
      <c r="U615"/>
      <c r="V615"/>
      <c r="W615">
        <v>18</v>
      </c>
    </row>
    <row r="616" spans="1:23">
      <c r="A616"/>
      <c r="B616" t="s">
        <v>108</v>
      </c>
      <c r="C616" t="s">
        <v>108</v>
      </c>
      <c r="D616" t="s">
        <v>33</v>
      </c>
      <c r="E616" t="s">
        <v>34</v>
      </c>
      <c r="F616" t="str">
        <f>"0017153"</f>
        <v>0017153</v>
      </c>
      <c r="G616">
        <v>1</v>
      </c>
      <c r="H616" t="str">
        <f>"00000001"</f>
        <v>00000001</v>
      </c>
      <c r="I616" t="s">
        <v>35</v>
      </c>
      <c r="J616"/>
      <c r="K616">
        <v>12.71</v>
      </c>
      <c r="L616">
        <v>0.0</v>
      </c>
      <c r="M616"/>
      <c r="N616"/>
      <c r="O616">
        <v>2.29</v>
      </c>
      <c r="P616">
        <v>0.0</v>
      </c>
      <c r="Q616">
        <v>15.0</v>
      </c>
      <c r="R616"/>
      <c r="S616"/>
      <c r="T616"/>
      <c r="U616"/>
      <c r="V616"/>
      <c r="W616">
        <v>18</v>
      </c>
    </row>
    <row r="617" spans="1:23">
      <c r="A617"/>
      <c r="B617" t="s">
        <v>108</v>
      </c>
      <c r="C617" t="s">
        <v>108</v>
      </c>
      <c r="D617" t="s">
        <v>33</v>
      </c>
      <c r="E617" t="s">
        <v>34</v>
      </c>
      <c r="F617" t="str">
        <f>"0017154"</f>
        <v>0017154</v>
      </c>
      <c r="G617">
        <v>1</v>
      </c>
      <c r="H617" t="str">
        <f>"77153661"</f>
        <v>77153661</v>
      </c>
      <c r="I617" t="s">
        <v>111</v>
      </c>
      <c r="J617"/>
      <c r="K617">
        <v>5.08</v>
      </c>
      <c r="L617">
        <v>0.0</v>
      </c>
      <c r="M617"/>
      <c r="N617"/>
      <c r="O617">
        <v>0.92</v>
      </c>
      <c r="P617">
        <v>0.0</v>
      </c>
      <c r="Q617">
        <v>6.0</v>
      </c>
      <c r="R617"/>
      <c r="S617"/>
      <c r="T617"/>
      <c r="U617"/>
      <c r="V617"/>
      <c r="W617">
        <v>18</v>
      </c>
    </row>
    <row r="618" spans="1:23">
      <c r="A618"/>
      <c r="B618" t="s">
        <v>108</v>
      </c>
      <c r="C618" t="s">
        <v>108</v>
      </c>
      <c r="D618" t="s">
        <v>33</v>
      </c>
      <c r="E618" t="s">
        <v>34</v>
      </c>
      <c r="F618" t="str">
        <f>"0017155"</f>
        <v>0017155</v>
      </c>
      <c r="G618">
        <v>1</v>
      </c>
      <c r="H618" t="str">
        <f>"00000001"</f>
        <v>00000001</v>
      </c>
      <c r="I618" t="s">
        <v>35</v>
      </c>
      <c r="J618"/>
      <c r="K618">
        <v>3.39</v>
      </c>
      <c r="L618">
        <v>0.0</v>
      </c>
      <c r="M618"/>
      <c r="N618"/>
      <c r="O618">
        <v>0.61</v>
      </c>
      <c r="P618">
        <v>0.0</v>
      </c>
      <c r="Q618">
        <v>4.0</v>
      </c>
      <c r="R618"/>
      <c r="S618"/>
      <c r="T618"/>
      <c r="U618"/>
      <c r="V618"/>
      <c r="W618">
        <v>18</v>
      </c>
    </row>
    <row r="619" spans="1:23">
      <c r="A619"/>
      <c r="B619" t="s">
        <v>108</v>
      </c>
      <c r="C619" t="s">
        <v>108</v>
      </c>
      <c r="D619" t="s">
        <v>33</v>
      </c>
      <c r="E619" t="s">
        <v>34</v>
      </c>
      <c r="F619" t="str">
        <f>"0017156"</f>
        <v>0017156</v>
      </c>
      <c r="G619">
        <v>1</v>
      </c>
      <c r="H619" t="str">
        <f>"00000001"</f>
        <v>00000001</v>
      </c>
      <c r="I619" t="s">
        <v>35</v>
      </c>
      <c r="J619"/>
      <c r="K619">
        <v>50.85</v>
      </c>
      <c r="L619">
        <v>0.0</v>
      </c>
      <c r="M619"/>
      <c r="N619"/>
      <c r="O619">
        <v>9.15</v>
      </c>
      <c r="P619">
        <v>0.0</v>
      </c>
      <c r="Q619">
        <v>60.0</v>
      </c>
      <c r="R619"/>
      <c r="S619"/>
      <c r="T619"/>
      <c r="U619"/>
      <c r="V619"/>
      <c r="W619">
        <v>18</v>
      </c>
    </row>
    <row r="620" spans="1:23">
      <c r="A620"/>
      <c r="B620" t="s">
        <v>108</v>
      </c>
      <c r="C620" t="s">
        <v>108</v>
      </c>
      <c r="D620" t="s">
        <v>33</v>
      </c>
      <c r="E620" t="s">
        <v>34</v>
      </c>
      <c r="F620" t="str">
        <f>"0017157"</f>
        <v>0017157</v>
      </c>
      <c r="G620">
        <v>1</v>
      </c>
      <c r="H620" t="str">
        <f>"00000001"</f>
        <v>00000001</v>
      </c>
      <c r="I620" t="s">
        <v>35</v>
      </c>
      <c r="J620"/>
      <c r="K620">
        <v>25.42</v>
      </c>
      <c r="L620">
        <v>0.0</v>
      </c>
      <c r="M620"/>
      <c r="N620"/>
      <c r="O620">
        <v>4.58</v>
      </c>
      <c r="P620">
        <v>0.0</v>
      </c>
      <c r="Q620">
        <v>30.0</v>
      </c>
      <c r="R620"/>
      <c r="S620"/>
      <c r="T620"/>
      <c r="U620"/>
      <c r="V620"/>
      <c r="W620">
        <v>18</v>
      </c>
    </row>
    <row r="621" spans="1:23">
      <c r="A621"/>
      <c r="B621" t="s">
        <v>108</v>
      </c>
      <c r="C621" t="s">
        <v>108</v>
      </c>
      <c r="D621" t="s">
        <v>33</v>
      </c>
      <c r="E621" t="s">
        <v>34</v>
      </c>
      <c r="F621" t="str">
        <f>"0017158"</f>
        <v>0017158</v>
      </c>
      <c r="G621">
        <v>1</v>
      </c>
      <c r="H621" t="str">
        <f>"00000001"</f>
        <v>00000001</v>
      </c>
      <c r="I621" t="s">
        <v>35</v>
      </c>
      <c r="J621"/>
      <c r="K621">
        <v>10.17</v>
      </c>
      <c r="L621">
        <v>0.0</v>
      </c>
      <c r="M621"/>
      <c r="N621"/>
      <c r="O621">
        <v>1.83</v>
      </c>
      <c r="P621">
        <v>0.0</v>
      </c>
      <c r="Q621">
        <v>12.0</v>
      </c>
      <c r="R621"/>
      <c r="S621"/>
      <c r="T621"/>
      <c r="U621"/>
      <c r="V621"/>
      <c r="W621">
        <v>18</v>
      </c>
    </row>
    <row r="622" spans="1:23">
      <c r="A622"/>
      <c r="B622" t="s">
        <v>108</v>
      </c>
      <c r="C622" t="s">
        <v>108</v>
      </c>
      <c r="D622" t="s">
        <v>33</v>
      </c>
      <c r="E622" t="s">
        <v>34</v>
      </c>
      <c r="F622" t="str">
        <f>"0017159"</f>
        <v>0017159</v>
      </c>
      <c r="G622">
        <v>1</v>
      </c>
      <c r="H622" t="str">
        <f>"00000001"</f>
        <v>00000001</v>
      </c>
      <c r="I622" t="s">
        <v>35</v>
      </c>
      <c r="J622"/>
      <c r="K622">
        <v>38.14</v>
      </c>
      <c r="L622">
        <v>0.0</v>
      </c>
      <c r="M622"/>
      <c r="N622"/>
      <c r="O622">
        <v>6.86</v>
      </c>
      <c r="P622">
        <v>0.0</v>
      </c>
      <c r="Q622">
        <v>45.0</v>
      </c>
      <c r="R622"/>
      <c r="S622"/>
      <c r="T622"/>
      <c r="U622"/>
      <c r="V622"/>
      <c r="W622">
        <v>18</v>
      </c>
    </row>
    <row r="623" spans="1:23">
      <c r="A623"/>
      <c r="B623" t="s">
        <v>108</v>
      </c>
      <c r="C623" t="s">
        <v>108</v>
      </c>
      <c r="D623" t="s">
        <v>33</v>
      </c>
      <c r="E623" t="s">
        <v>34</v>
      </c>
      <c r="F623" t="str">
        <f>"0017160"</f>
        <v>0017160</v>
      </c>
      <c r="G623">
        <v>1</v>
      </c>
      <c r="H623" t="str">
        <f>"00000001"</f>
        <v>00000001</v>
      </c>
      <c r="I623" t="s">
        <v>35</v>
      </c>
      <c r="J623"/>
      <c r="K623">
        <v>15.25</v>
      </c>
      <c r="L623">
        <v>0.0</v>
      </c>
      <c r="M623"/>
      <c r="N623"/>
      <c r="O623">
        <v>2.75</v>
      </c>
      <c r="P623">
        <v>0.0</v>
      </c>
      <c r="Q623">
        <v>18.0</v>
      </c>
      <c r="R623"/>
      <c r="S623"/>
      <c r="T623"/>
      <c r="U623"/>
      <c r="V623"/>
      <c r="W623">
        <v>18</v>
      </c>
    </row>
    <row r="624" spans="1:23">
      <c r="A624"/>
      <c r="B624" t="s">
        <v>112</v>
      </c>
      <c r="C624" t="s">
        <v>112</v>
      </c>
      <c r="D624" t="s">
        <v>33</v>
      </c>
      <c r="E624" t="s">
        <v>34</v>
      </c>
      <c r="F624" t="str">
        <f>"0017161"</f>
        <v>0017161</v>
      </c>
      <c r="G624">
        <v>1</v>
      </c>
      <c r="H624" t="str">
        <f>"00000001"</f>
        <v>00000001</v>
      </c>
      <c r="I624" t="s">
        <v>35</v>
      </c>
      <c r="J624"/>
      <c r="K624">
        <v>13.98</v>
      </c>
      <c r="L624">
        <v>0.0</v>
      </c>
      <c r="M624"/>
      <c r="N624"/>
      <c r="O624">
        <v>2.52</v>
      </c>
      <c r="P624">
        <v>0.0</v>
      </c>
      <c r="Q624">
        <v>16.5</v>
      </c>
      <c r="R624"/>
      <c r="S624"/>
      <c r="T624"/>
      <c r="U624"/>
      <c r="V624"/>
      <c r="W624">
        <v>18</v>
      </c>
    </row>
    <row r="625" spans="1:23">
      <c r="A625"/>
      <c r="B625" t="s">
        <v>112</v>
      </c>
      <c r="C625" t="s">
        <v>112</v>
      </c>
      <c r="D625" t="s">
        <v>33</v>
      </c>
      <c r="E625" t="s">
        <v>34</v>
      </c>
      <c r="F625" t="str">
        <f>"0017162"</f>
        <v>0017162</v>
      </c>
      <c r="G625">
        <v>1</v>
      </c>
      <c r="H625" t="str">
        <f>"00000001"</f>
        <v>00000001</v>
      </c>
      <c r="I625" t="s">
        <v>35</v>
      </c>
      <c r="J625"/>
      <c r="K625">
        <v>2.54</v>
      </c>
      <c r="L625">
        <v>0.0</v>
      </c>
      <c r="M625"/>
      <c r="N625"/>
      <c r="O625">
        <v>0.46</v>
      </c>
      <c r="P625">
        <v>0.0</v>
      </c>
      <c r="Q625">
        <v>3.0</v>
      </c>
      <c r="R625"/>
      <c r="S625"/>
      <c r="T625"/>
      <c r="U625"/>
      <c r="V625"/>
      <c r="W625">
        <v>18</v>
      </c>
    </row>
    <row r="626" spans="1:23">
      <c r="A626"/>
      <c r="B626" t="s">
        <v>112</v>
      </c>
      <c r="C626" t="s">
        <v>112</v>
      </c>
      <c r="D626" t="s">
        <v>33</v>
      </c>
      <c r="E626" t="s">
        <v>34</v>
      </c>
      <c r="F626" t="str">
        <f>"0017163"</f>
        <v>0017163</v>
      </c>
      <c r="G626">
        <v>1</v>
      </c>
      <c r="H626" t="str">
        <f>"00000001"</f>
        <v>00000001</v>
      </c>
      <c r="I626" t="s">
        <v>35</v>
      </c>
      <c r="J626"/>
      <c r="K626">
        <v>12.71</v>
      </c>
      <c r="L626">
        <v>0.0</v>
      </c>
      <c r="M626"/>
      <c r="N626"/>
      <c r="O626">
        <v>2.29</v>
      </c>
      <c r="P626">
        <v>0.0</v>
      </c>
      <c r="Q626">
        <v>15.0</v>
      </c>
      <c r="R626"/>
      <c r="S626"/>
      <c r="T626"/>
      <c r="U626"/>
      <c r="V626"/>
      <c r="W626">
        <v>18</v>
      </c>
    </row>
    <row r="627" spans="1:23">
      <c r="A627"/>
      <c r="B627" t="s">
        <v>112</v>
      </c>
      <c r="C627" t="s">
        <v>112</v>
      </c>
      <c r="D627" t="s">
        <v>33</v>
      </c>
      <c r="E627" t="s">
        <v>34</v>
      </c>
      <c r="F627" t="str">
        <f>"0017164"</f>
        <v>0017164</v>
      </c>
      <c r="G627">
        <v>1</v>
      </c>
      <c r="H627" t="str">
        <f>"00000001"</f>
        <v>00000001</v>
      </c>
      <c r="I627" t="s">
        <v>35</v>
      </c>
      <c r="J627"/>
      <c r="K627">
        <v>7.63</v>
      </c>
      <c r="L627">
        <v>0.0</v>
      </c>
      <c r="M627"/>
      <c r="N627"/>
      <c r="O627">
        <v>1.37</v>
      </c>
      <c r="P627">
        <v>0.0</v>
      </c>
      <c r="Q627">
        <v>9.0</v>
      </c>
      <c r="R627"/>
      <c r="S627"/>
      <c r="T627"/>
      <c r="U627"/>
      <c r="V627"/>
      <c r="W627">
        <v>18</v>
      </c>
    </row>
    <row r="628" spans="1:23">
      <c r="A628"/>
      <c r="B628" t="s">
        <v>112</v>
      </c>
      <c r="C628" t="s">
        <v>112</v>
      </c>
      <c r="D628" t="s">
        <v>33</v>
      </c>
      <c r="E628" t="s">
        <v>34</v>
      </c>
      <c r="F628" t="str">
        <f>"0017165"</f>
        <v>0017165</v>
      </c>
      <c r="G628">
        <v>1</v>
      </c>
      <c r="H628" t="str">
        <f>"00000001"</f>
        <v>00000001</v>
      </c>
      <c r="I628" t="s">
        <v>35</v>
      </c>
      <c r="J628"/>
      <c r="K628">
        <v>2.54</v>
      </c>
      <c r="L628">
        <v>0.0</v>
      </c>
      <c r="M628"/>
      <c r="N628"/>
      <c r="O628">
        <v>0.46</v>
      </c>
      <c r="P628">
        <v>0.0</v>
      </c>
      <c r="Q628">
        <v>3.0</v>
      </c>
      <c r="R628"/>
      <c r="S628"/>
      <c r="T628"/>
      <c r="U628"/>
      <c r="V628"/>
      <c r="W628">
        <v>18</v>
      </c>
    </row>
    <row r="629" spans="1:23">
      <c r="A629"/>
      <c r="B629" t="s">
        <v>112</v>
      </c>
      <c r="C629" t="s">
        <v>112</v>
      </c>
      <c r="D629" t="s">
        <v>33</v>
      </c>
      <c r="E629" t="s">
        <v>34</v>
      </c>
      <c r="F629" t="str">
        <f>"0017166"</f>
        <v>0017166</v>
      </c>
      <c r="G629">
        <v>1</v>
      </c>
      <c r="H629" t="str">
        <f>"00000001"</f>
        <v>00000001</v>
      </c>
      <c r="I629" t="s">
        <v>35</v>
      </c>
      <c r="J629"/>
      <c r="K629">
        <v>50.85</v>
      </c>
      <c r="L629">
        <v>0.0</v>
      </c>
      <c r="M629"/>
      <c r="N629"/>
      <c r="O629">
        <v>9.15</v>
      </c>
      <c r="P629">
        <v>0.0</v>
      </c>
      <c r="Q629">
        <v>60.0</v>
      </c>
      <c r="R629"/>
      <c r="S629"/>
      <c r="T629"/>
      <c r="U629"/>
      <c r="V629"/>
      <c r="W629">
        <v>18</v>
      </c>
    </row>
    <row r="630" spans="1:23">
      <c r="A630"/>
      <c r="B630" t="s">
        <v>112</v>
      </c>
      <c r="C630" t="s">
        <v>112</v>
      </c>
      <c r="D630" t="s">
        <v>33</v>
      </c>
      <c r="E630" t="s">
        <v>34</v>
      </c>
      <c r="F630" t="str">
        <f>"0017167"</f>
        <v>0017167</v>
      </c>
      <c r="G630">
        <v>1</v>
      </c>
      <c r="H630" t="str">
        <f>"00000001"</f>
        <v>00000001</v>
      </c>
      <c r="I630" t="s">
        <v>35</v>
      </c>
      <c r="J630"/>
      <c r="K630">
        <v>8.47</v>
      </c>
      <c r="L630">
        <v>0.0</v>
      </c>
      <c r="M630"/>
      <c r="N630"/>
      <c r="O630">
        <v>1.53</v>
      </c>
      <c r="P630">
        <v>0.0</v>
      </c>
      <c r="Q630">
        <v>10.0</v>
      </c>
      <c r="R630"/>
      <c r="S630"/>
      <c r="T630"/>
      <c r="U630"/>
      <c r="V630"/>
      <c r="W630">
        <v>18</v>
      </c>
    </row>
    <row r="631" spans="1:23">
      <c r="A631"/>
      <c r="B631" t="s">
        <v>112</v>
      </c>
      <c r="C631" t="s">
        <v>112</v>
      </c>
      <c r="D631" t="s">
        <v>36</v>
      </c>
      <c r="E631" t="s">
        <v>37</v>
      </c>
      <c r="F631" t="str">
        <f>"0001386"</f>
        <v>0001386</v>
      </c>
      <c r="G631">
        <v>6</v>
      </c>
      <c r="H631" t="str">
        <f>"20512807411"</f>
        <v>20512807411</v>
      </c>
      <c r="I631" t="s">
        <v>113</v>
      </c>
      <c r="J631"/>
      <c r="K631">
        <v>152.54</v>
      </c>
      <c r="L631">
        <v>0.0</v>
      </c>
      <c r="M631"/>
      <c r="N631"/>
      <c r="O631">
        <v>27.46</v>
      </c>
      <c r="P631">
        <v>0.0</v>
      </c>
      <c r="Q631">
        <v>180.0</v>
      </c>
      <c r="R631"/>
      <c r="S631"/>
      <c r="T631"/>
      <c r="U631"/>
      <c r="V631"/>
      <c r="W631">
        <v>18</v>
      </c>
    </row>
    <row r="632" spans="1:23">
      <c r="A632"/>
      <c r="B632" t="s">
        <v>112</v>
      </c>
      <c r="C632" t="s">
        <v>112</v>
      </c>
      <c r="D632" t="s">
        <v>36</v>
      </c>
      <c r="E632" t="s">
        <v>37</v>
      </c>
      <c r="F632" t="str">
        <f>"0001387"</f>
        <v>0001387</v>
      </c>
      <c r="G632">
        <v>6</v>
      </c>
      <c r="H632" t="str">
        <f>"20608580833"</f>
        <v>20608580833</v>
      </c>
      <c r="I632" t="s">
        <v>114</v>
      </c>
      <c r="J632"/>
      <c r="K632">
        <v>27.97</v>
      </c>
      <c r="L632">
        <v>0.0</v>
      </c>
      <c r="M632"/>
      <c r="N632"/>
      <c r="O632">
        <v>5.03</v>
      </c>
      <c r="P632">
        <v>0.0</v>
      </c>
      <c r="Q632">
        <v>33.0</v>
      </c>
      <c r="R632"/>
      <c r="S632"/>
      <c r="T632"/>
      <c r="U632"/>
      <c r="V632"/>
      <c r="W632">
        <v>18</v>
      </c>
    </row>
    <row r="633" spans="1:23">
      <c r="A633"/>
      <c r="B633" t="s">
        <v>112</v>
      </c>
      <c r="C633" t="s">
        <v>112</v>
      </c>
      <c r="D633" t="s">
        <v>33</v>
      </c>
      <c r="E633" t="s">
        <v>34</v>
      </c>
      <c r="F633" t="str">
        <f>"0017168"</f>
        <v>0017168</v>
      </c>
      <c r="G633">
        <v>1</v>
      </c>
      <c r="H633" t="str">
        <f>"00000001"</f>
        <v>00000001</v>
      </c>
      <c r="I633" t="s">
        <v>35</v>
      </c>
      <c r="J633"/>
      <c r="K633">
        <v>12.71</v>
      </c>
      <c r="L633">
        <v>0.0</v>
      </c>
      <c r="M633"/>
      <c r="N633"/>
      <c r="O633">
        <v>2.29</v>
      </c>
      <c r="P633">
        <v>0.0</v>
      </c>
      <c r="Q633">
        <v>15.0</v>
      </c>
      <c r="R633"/>
      <c r="S633"/>
      <c r="T633"/>
      <c r="U633"/>
      <c r="V633"/>
      <c r="W633">
        <v>18</v>
      </c>
    </row>
    <row r="634" spans="1:23">
      <c r="A634"/>
      <c r="B634" t="s">
        <v>112</v>
      </c>
      <c r="C634" t="s">
        <v>112</v>
      </c>
      <c r="D634" t="s">
        <v>33</v>
      </c>
      <c r="E634" t="s">
        <v>34</v>
      </c>
      <c r="F634" t="str">
        <f>"0017169"</f>
        <v>0017169</v>
      </c>
      <c r="G634">
        <v>1</v>
      </c>
      <c r="H634" t="str">
        <f>"00000001"</f>
        <v>00000001</v>
      </c>
      <c r="I634" t="s">
        <v>35</v>
      </c>
      <c r="J634"/>
      <c r="K634">
        <v>52.54</v>
      </c>
      <c r="L634">
        <v>0.0</v>
      </c>
      <c r="M634"/>
      <c r="N634"/>
      <c r="O634">
        <v>9.46</v>
      </c>
      <c r="P634">
        <v>0.0</v>
      </c>
      <c r="Q634">
        <v>62.0</v>
      </c>
      <c r="R634"/>
      <c r="S634"/>
      <c r="T634"/>
      <c r="U634"/>
      <c r="V634"/>
      <c r="W634">
        <v>18</v>
      </c>
    </row>
    <row r="635" spans="1:23">
      <c r="A635"/>
      <c r="B635" t="s">
        <v>112</v>
      </c>
      <c r="C635" t="s">
        <v>112</v>
      </c>
      <c r="D635" t="s">
        <v>33</v>
      </c>
      <c r="E635" t="s">
        <v>34</v>
      </c>
      <c r="F635" t="str">
        <f>"0017170"</f>
        <v>0017170</v>
      </c>
      <c r="G635">
        <v>6</v>
      </c>
      <c r="H635" t="str">
        <f>"20610600787"</f>
        <v>20610600787</v>
      </c>
      <c r="I635" t="s">
        <v>55</v>
      </c>
      <c r="J635"/>
      <c r="K635">
        <v>21.19</v>
      </c>
      <c r="L635">
        <v>0.0</v>
      </c>
      <c r="M635"/>
      <c r="N635"/>
      <c r="O635">
        <v>3.81</v>
      </c>
      <c r="P635">
        <v>0.0</v>
      </c>
      <c r="Q635">
        <v>25.0</v>
      </c>
      <c r="R635"/>
      <c r="S635"/>
      <c r="T635"/>
      <c r="U635"/>
      <c r="V635"/>
      <c r="W635">
        <v>18</v>
      </c>
    </row>
    <row r="636" spans="1:23">
      <c r="A636"/>
      <c r="B636" t="s">
        <v>112</v>
      </c>
      <c r="C636" t="s">
        <v>112</v>
      </c>
      <c r="D636" t="s">
        <v>36</v>
      </c>
      <c r="E636" t="s">
        <v>37</v>
      </c>
      <c r="F636" t="str">
        <f>"0001388"</f>
        <v>0001388</v>
      </c>
      <c r="G636">
        <v>6</v>
      </c>
      <c r="H636" t="str">
        <f>"20602371442"</f>
        <v>20602371442</v>
      </c>
      <c r="I636" t="s">
        <v>115</v>
      </c>
      <c r="J636"/>
      <c r="K636">
        <v>10.17</v>
      </c>
      <c r="L636">
        <v>0.0</v>
      </c>
      <c r="M636"/>
      <c r="N636"/>
      <c r="O636">
        <v>1.83</v>
      </c>
      <c r="P636">
        <v>0.0</v>
      </c>
      <c r="Q636">
        <v>12.0</v>
      </c>
      <c r="R636"/>
      <c r="S636"/>
      <c r="T636"/>
      <c r="U636"/>
      <c r="V636"/>
      <c r="W636">
        <v>18</v>
      </c>
    </row>
    <row r="637" spans="1:23">
      <c r="A637"/>
      <c r="B637" t="s">
        <v>112</v>
      </c>
      <c r="C637" t="s">
        <v>112</v>
      </c>
      <c r="D637" t="s">
        <v>33</v>
      </c>
      <c r="E637" t="s">
        <v>34</v>
      </c>
      <c r="F637" t="str">
        <f>"0017171"</f>
        <v>0017171</v>
      </c>
      <c r="G637">
        <v>1</v>
      </c>
      <c r="H637" t="str">
        <f>"00000001"</f>
        <v>00000001</v>
      </c>
      <c r="I637" t="s">
        <v>35</v>
      </c>
      <c r="J637"/>
      <c r="K637">
        <v>40.68</v>
      </c>
      <c r="L637">
        <v>0.0</v>
      </c>
      <c r="M637"/>
      <c r="N637"/>
      <c r="O637">
        <v>7.32</v>
      </c>
      <c r="P637">
        <v>0.0</v>
      </c>
      <c r="Q637">
        <v>48.0</v>
      </c>
      <c r="R637"/>
      <c r="S637"/>
      <c r="T637"/>
      <c r="U637"/>
      <c r="V637"/>
      <c r="W637">
        <v>18</v>
      </c>
    </row>
    <row r="638" spans="1:23">
      <c r="A638"/>
      <c r="B638" t="s">
        <v>112</v>
      </c>
      <c r="C638" t="s">
        <v>112</v>
      </c>
      <c r="D638" t="s">
        <v>33</v>
      </c>
      <c r="E638" t="s">
        <v>34</v>
      </c>
      <c r="F638" t="str">
        <f>"0017172"</f>
        <v>0017172</v>
      </c>
      <c r="G638">
        <v>1</v>
      </c>
      <c r="H638" t="str">
        <f>"00000001"</f>
        <v>00000001</v>
      </c>
      <c r="I638" t="s">
        <v>35</v>
      </c>
      <c r="J638"/>
      <c r="K638">
        <v>4.24</v>
      </c>
      <c r="L638">
        <v>0.0</v>
      </c>
      <c r="M638"/>
      <c r="N638"/>
      <c r="O638">
        <v>0.76</v>
      </c>
      <c r="P638">
        <v>0.0</v>
      </c>
      <c r="Q638">
        <v>5.0</v>
      </c>
      <c r="R638"/>
      <c r="S638"/>
      <c r="T638"/>
      <c r="U638"/>
      <c r="V638"/>
      <c r="W638">
        <v>18</v>
      </c>
    </row>
    <row r="639" spans="1:23">
      <c r="A639"/>
      <c r="B639" t="s">
        <v>112</v>
      </c>
      <c r="C639" t="s">
        <v>112</v>
      </c>
      <c r="D639" t="s">
        <v>33</v>
      </c>
      <c r="E639" t="s">
        <v>34</v>
      </c>
      <c r="F639" t="str">
        <f>"0017173"</f>
        <v>0017173</v>
      </c>
      <c r="G639">
        <v>1</v>
      </c>
      <c r="H639" t="str">
        <f>"00000001"</f>
        <v>00000001</v>
      </c>
      <c r="I639" t="s">
        <v>35</v>
      </c>
      <c r="J639"/>
      <c r="K639">
        <v>67.8</v>
      </c>
      <c r="L639">
        <v>0.0</v>
      </c>
      <c r="M639"/>
      <c r="N639"/>
      <c r="O639">
        <v>12.2</v>
      </c>
      <c r="P639">
        <v>0.0</v>
      </c>
      <c r="Q639">
        <v>80.0</v>
      </c>
      <c r="R639"/>
      <c r="S639"/>
      <c r="T639"/>
      <c r="U639"/>
      <c r="V639"/>
      <c r="W639">
        <v>18</v>
      </c>
    </row>
    <row r="640" spans="1:23">
      <c r="A640"/>
      <c r="B640" t="s">
        <v>116</v>
      </c>
      <c r="C640" t="s">
        <v>116</v>
      </c>
      <c r="D640" t="s">
        <v>33</v>
      </c>
      <c r="E640" t="s">
        <v>34</v>
      </c>
      <c r="F640" t="str">
        <f>"0017174"</f>
        <v>0017174</v>
      </c>
      <c r="G640">
        <v>1</v>
      </c>
      <c r="H640" t="str">
        <f>"00000001"</f>
        <v>00000001</v>
      </c>
      <c r="I640" t="s">
        <v>35</v>
      </c>
      <c r="J640"/>
      <c r="K640">
        <v>12.71</v>
      </c>
      <c r="L640">
        <v>0.0</v>
      </c>
      <c r="M640"/>
      <c r="N640"/>
      <c r="O640">
        <v>2.29</v>
      </c>
      <c r="P640">
        <v>0.0</v>
      </c>
      <c r="Q640">
        <v>15.0</v>
      </c>
      <c r="R640"/>
      <c r="S640"/>
      <c r="T640"/>
      <c r="U640"/>
      <c r="V640"/>
      <c r="W640">
        <v>18</v>
      </c>
    </row>
    <row r="641" spans="1:23">
      <c r="A641"/>
      <c r="B641" t="s">
        <v>116</v>
      </c>
      <c r="C641" t="s">
        <v>116</v>
      </c>
      <c r="D641" t="s">
        <v>33</v>
      </c>
      <c r="E641" t="s">
        <v>34</v>
      </c>
      <c r="F641" t="str">
        <f>"0017175"</f>
        <v>0017175</v>
      </c>
      <c r="G641">
        <v>1</v>
      </c>
      <c r="H641" t="str">
        <f>"00000001"</f>
        <v>00000001</v>
      </c>
      <c r="I641" t="s">
        <v>35</v>
      </c>
      <c r="J641"/>
      <c r="K641">
        <v>200.85</v>
      </c>
      <c r="L641">
        <v>0.0</v>
      </c>
      <c r="M641"/>
      <c r="N641"/>
      <c r="O641">
        <v>36.15</v>
      </c>
      <c r="P641">
        <v>0.0</v>
      </c>
      <c r="Q641">
        <v>237.0</v>
      </c>
      <c r="R641"/>
      <c r="S641"/>
      <c r="T641"/>
      <c r="U641"/>
      <c r="V641"/>
      <c r="W641">
        <v>18</v>
      </c>
    </row>
    <row r="642" spans="1:23">
      <c r="A642"/>
      <c r="B642" t="s">
        <v>116</v>
      </c>
      <c r="C642" t="s">
        <v>116</v>
      </c>
      <c r="D642" t="s">
        <v>33</v>
      </c>
      <c r="E642" t="s">
        <v>34</v>
      </c>
      <c r="F642" t="str">
        <f>"0017176"</f>
        <v>0017176</v>
      </c>
      <c r="G642">
        <v>1</v>
      </c>
      <c r="H642" t="str">
        <f>"00000001"</f>
        <v>00000001</v>
      </c>
      <c r="I642" t="s">
        <v>35</v>
      </c>
      <c r="J642"/>
      <c r="K642">
        <v>5.08</v>
      </c>
      <c r="L642">
        <v>0.0</v>
      </c>
      <c r="M642"/>
      <c r="N642"/>
      <c r="O642">
        <v>0.92</v>
      </c>
      <c r="P642">
        <v>0.0</v>
      </c>
      <c r="Q642">
        <v>6.0</v>
      </c>
      <c r="R642"/>
      <c r="S642"/>
      <c r="T642"/>
      <c r="U642"/>
      <c r="V642"/>
      <c r="W642">
        <v>18</v>
      </c>
    </row>
    <row r="643" spans="1:23">
      <c r="A643"/>
      <c r="B643" t="s">
        <v>116</v>
      </c>
      <c r="C643" t="s">
        <v>116</v>
      </c>
      <c r="D643" t="s">
        <v>33</v>
      </c>
      <c r="E643" t="s">
        <v>34</v>
      </c>
      <c r="F643" t="str">
        <f>"0017177"</f>
        <v>0017177</v>
      </c>
      <c r="G643">
        <v>1</v>
      </c>
      <c r="H643" t="str">
        <f>"00000001"</f>
        <v>00000001</v>
      </c>
      <c r="I643" t="s">
        <v>35</v>
      </c>
      <c r="J643"/>
      <c r="K643">
        <v>104.66</v>
      </c>
      <c r="L643">
        <v>0.0</v>
      </c>
      <c r="M643"/>
      <c r="N643"/>
      <c r="O643">
        <v>18.84</v>
      </c>
      <c r="P643">
        <v>0.0</v>
      </c>
      <c r="Q643">
        <v>123.5</v>
      </c>
      <c r="R643"/>
      <c r="S643"/>
      <c r="T643"/>
      <c r="U643"/>
      <c r="V643"/>
      <c r="W643">
        <v>18</v>
      </c>
    </row>
    <row r="644" spans="1:23">
      <c r="A644"/>
      <c r="B644" t="s">
        <v>116</v>
      </c>
      <c r="C644" t="s">
        <v>116</v>
      </c>
      <c r="D644" t="s">
        <v>36</v>
      </c>
      <c r="E644" t="s">
        <v>37</v>
      </c>
      <c r="F644" t="str">
        <f>"0001389"</f>
        <v>0001389</v>
      </c>
      <c r="G644">
        <v>6</v>
      </c>
      <c r="H644" t="str">
        <f>"20101298851"</f>
        <v>20101298851</v>
      </c>
      <c r="I644" t="s">
        <v>42</v>
      </c>
      <c r="J644"/>
      <c r="K644">
        <v>5.08</v>
      </c>
      <c r="L644">
        <v>0.0</v>
      </c>
      <c r="M644"/>
      <c r="N644"/>
      <c r="O644">
        <v>0.92</v>
      </c>
      <c r="P644">
        <v>0.0</v>
      </c>
      <c r="Q644">
        <v>6.0</v>
      </c>
      <c r="R644"/>
      <c r="S644"/>
      <c r="T644"/>
      <c r="U644"/>
      <c r="V644"/>
      <c r="W644">
        <v>18</v>
      </c>
    </row>
    <row r="645" spans="1:23">
      <c r="A645"/>
      <c r="B645" t="s">
        <v>116</v>
      </c>
      <c r="C645" t="s">
        <v>116</v>
      </c>
      <c r="D645" t="s">
        <v>33</v>
      </c>
      <c r="E645" t="s">
        <v>34</v>
      </c>
      <c r="F645" t="str">
        <f>"0017178"</f>
        <v>0017178</v>
      </c>
      <c r="G645">
        <v>1</v>
      </c>
      <c r="H645" t="str">
        <f>"00000001"</f>
        <v>00000001</v>
      </c>
      <c r="I645" t="s">
        <v>35</v>
      </c>
      <c r="J645"/>
      <c r="K645">
        <v>22.46</v>
      </c>
      <c r="L645">
        <v>0.0</v>
      </c>
      <c r="M645"/>
      <c r="N645"/>
      <c r="O645">
        <v>4.04</v>
      </c>
      <c r="P645">
        <v>0.0</v>
      </c>
      <c r="Q645">
        <v>26.5</v>
      </c>
      <c r="R645"/>
      <c r="S645"/>
      <c r="T645"/>
      <c r="U645"/>
      <c r="V645"/>
      <c r="W645">
        <v>18</v>
      </c>
    </row>
    <row r="646" spans="1:23">
      <c r="A646"/>
      <c r="B646" t="s">
        <v>116</v>
      </c>
      <c r="C646" t="s">
        <v>116</v>
      </c>
      <c r="D646" t="s">
        <v>33</v>
      </c>
      <c r="E646" t="s">
        <v>34</v>
      </c>
      <c r="F646" t="str">
        <f>"0017179"</f>
        <v>0017179</v>
      </c>
      <c r="G646">
        <v>1</v>
      </c>
      <c r="H646" t="str">
        <f>"00000001"</f>
        <v>00000001</v>
      </c>
      <c r="I646" t="s">
        <v>35</v>
      </c>
      <c r="J646"/>
      <c r="K646">
        <v>37.29</v>
      </c>
      <c r="L646">
        <v>0.0</v>
      </c>
      <c r="M646"/>
      <c r="N646"/>
      <c r="O646">
        <v>6.71</v>
      </c>
      <c r="P646">
        <v>0.0</v>
      </c>
      <c r="Q646">
        <v>44.0</v>
      </c>
      <c r="R646"/>
      <c r="S646"/>
      <c r="T646"/>
      <c r="U646"/>
      <c r="V646"/>
      <c r="W646">
        <v>18</v>
      </c>
    </row>
    <row r="647" spans="1:23">
      <c r="A647"/>
      <c r="B647" t="s">
        <v>116</v>
      </c>
      <c r="C647" t="s">
        <v>116</v>
      </c>
      <c r="D647" t="s">
        <v>33</v>
      </c>
      <c r="E647" t="s">
        <v>34</v>
      </c>
      <c r="F647" t="str">
        <f>"0017180"</f>
        <v>0017180</v>
      </c>
      <c r="G647">
        <v>1</v>
      </c>
      <c r="H647" t="str">
        <f>"00000001"</f>
        <v>00000001</v>
      </c>
      <c r="I647" t="s">
        <v>35</v>
      </c>
      <c r="J647"/>
      <c r="K647">
        <v>33.05</v>
      </c>
      <c r="L647">
        <v>0.0</v>
      </c>
      <c r="M647"/>
      <c r="N647"/>
      <c r="O647">
        <v>5.95</v>
      </c>
      <c r="P647">
        <v>0.0</v>
      </c>
      <c r="Q647">
        <v>39.0</v>
      </c>
      <c r="R647"/>
      <c r="S647"/>
      <c r="T647"/>
      <c r="U647"/>
      <c r="V647"/>
      <c r="W647">
        <v>18</v>
      </c>
    </row>
    <row r="648" spans="1:23">
      <c r="A648"/>
      <c r="B648" t="s">
        <v>116</v>
      </c>
      <c r="C648" t="s">
        <v>116</v>
      </c>
      <c r="D648" t="s">
        <v>33</v>
      </c>
      <c r="E648" t="s">
        <v>34</v>
      </c>
      <c r="F648" t="str">
        <f>"0017182"</f>
        <v>0017182</v>
      </c>
      <c r="G648">
        <v>1</v>
      </c>
      <c r="H648" t="str">
        <f>"00000001"</f>
        <v>00000001</v>
      </c>
      <c r="I648" t="s">
        <v>35</v>
      </c>
      <c r="J648"/>
      <c r="K648">
        <v>8.9</v>
      </c>
      <c r="L648">
        <v>0.0</v>
      </c>
      <c r="M648"/>
      <c r="N648"/>
      <c r="O648">
        <v>1.6</v>
      </c>
      <c r="P648">
        <v>0.0</v>
      </c>
      <c r="Q648">
        <v>10.5</v>
      </c>
      <c r="R648"/>
      <c r="S648"/>
      <c r="T648"/>
      <c r="U648"/>
      <c r="V648"/>
      <c r="W648">
        <v>18</v>
      </c>
    </row>
    <row r="649" spans="1:23">
      <c r="A649"/>
      <c r="B649" t="s">
        <v>116</v>
      </c>
      <c r="C649" t="s">
        <v>116</v>
      </c>
      <c r="D649" t="s">
        <v>33</v>
      </c>
      <c r="E649" t="s">
        <v>34</v>
      </c>
      <c r="F649" t="str">
        <f>"0017181"</f>
        <v>0017181</v>
      </c>
      <c r="G649">
        <v>1</v>
      </c>
      <c r="H649" t="str">
        <f>"00000001"</f>
        <v>00000001</v>
      </c>
      <c r="I649" t="s">
        <v>35</v>
      </c>
      <c r="J649"/>
      <c r="K649">
        <v>2.12</v>
      </c>
      <c r="L649">
        <v>0.0</v>
      </c>
      <c r="M649"/>
      <c r="N649"/>
      <c r="O649">
        <v>0.38</v>
      </c>
      <c r="P649">
        <v>0.0</v>
      </c>
      <c r="Q649">
        <v>2.5</v>
      </c>
      <c r="R649"/>
      <c r="S649"/>
      <c r="T649"/>
      <c r="U649"/>
      <c r="V649"/>
      <c r="W649">
        <v>18</v>
      </c>
    </row>
    <row r="650" spans="1:23">
      <c r="A650"/>
      <c r="B650" t="s">
        <v>116</v>
      </c>
      <c r="C650" t="s">
        <v>116</v>
      </c>
      <c r="D650" t="s">
        <v>36</v>
      </c>
      <c r="E650" t="s">
        <v>37</v>
      </c>
      <c r="F650" t="str">
        <f>"0001390"</f>
        <v>0001390</v>
      </c>
      <c r="G650">
        <v>6</v>
      </c>
      <c r="H650" t="str">
        <f>"20148258601"</f>
        <v>20148258601</v>
      </c>
      <c r="I650" t="s">
        <v>117</v>
      </c>
      <c r="J650"/>
      <c r="K650">
        <v>211.86</v>
      </c>
      <c r="L650">
        <v>0.0</v>
      </c>
      <c r="M650"/>
      <c r="N650"/>
      <c r="O650">
        <v>38.14</v>
      </c>
      <c r="P650">
        <v>0.0</v>
      </c>
      <c r="Q650">
        <v>250.0</v>
      </c>
      <c r="R650"/>
      <c r="S650"/>
      <c r="T650"/>
      <c r="U650"/>
      <c r="V650"/>
      <c r="W650">
        <v>18</v>
      </c>
    </row>
    <row r="651" spans="1:23">
      <c r="A651"/>
      <c r="B651" t="s">
        <v>116</v>
      </c>
      <c r="C651" t="s">
        <v>116</v>
      </c>
      <c r="D651" t="s">
        <v>36</v>
      </c>
      <c r="E651" t="s">
        <v>37</v>
      </c>
      <c r="F651" t="str">
        <f>"0001391"</f>
        <v>0001391</v>
      </c>
      <c r="G651">
        <v>6</v>
      </c>
      <c r="H651" t="str">
        <f>"20148258601"</f>
        <v>20148258601</v>
      </c>
      <c r="I651" t="s">
        <v>117</v>
      </c>
      <c r="J651"/>
      <c r="K651">
        <v>211.86</v>
      </c>
      <c r="L651">
        <v>0.0</v>
      </c>
      <c r="M651"/>
      <c r="N651"/>
      <c r="O651">
        <v>38.14</v>
      </c>
      <c r="P651">
        <v>0.0</v>
      </c>
      <c r="Q651">
        <v>250.0</v>
      </c>
      <c r="R651"/>
      <c r="S651"/>
      <c r="T651"/>
      <c r="U651"/>
      <c r="V651"/>
      <c r="W651">
        <v>18</v>
      </c>
    </row>
    <row r="652" spans="1:23">
      <c r="A652"/>
      <c r="B652" t="s">
        <v>116</v>
      </c>
      <c r="C652" t="s">
        <v>116</v>
      </c>
      <c r="D652" t="s">
        <v>36</v>
      </c>
      <c r="E652" t="s">
        <v>37</v>
      </c>
      <c r="F652" t="str">
        <f>"0001392"</f>
        <v>0001392</v>
      </c>
      <c r="G652">
        <v>6</v>
      </c>
      <c r="H652" t="str">
        <f>"20148258601"</f>
        <v>20148258601</v>
      </c>
      <c r="I652" t="s">
        <v>117</v>
      </c>
      <c r="J652"/>
      <c r="K652">
        <v>296.61</v>
      </c>
      <c r="L652">
        <v>0.0</v>
      </c>
      <c r="M652"/>
      <c r="N652"/>
      <c r="O652">
        <v>53.39</v>
      </c>
      <c r="P652">
        <v>0.0</v>
      </c>
      <c r="Q652">
        <v>350.0</v>
      </c>
      <c r="R652"/>
      <c r="S652"/>
      <c r="T652"/>
      <c r="U652"/>
      <c r="V652"/>
      <c r="W652">
        <v>18</v>
      </c>
    </row>
    <row r="653" spans="1:23">
      <c r="A653"/>
      <c r="B653" t="s">
        <v>116</v>
      </c>
      <c r="C653" t="s">
        <v>116</v>
      </c>
      <c r="D653" t="s">
        <v>33</v>
      </c>
      <c r="E653" t="s">
        <v>34</v>
      </c>
      <c r="F653" t="str">
        <f>"0017183"</f>
        <v>0017183</v>
      </c>
      <c r="G653">
        <v>1</v>
      </c>
      <c r="H653" t="str">
        <f>"00000001"</f>
        <v>00000001</v>
      </c>
      <c r="I653" t="s">
        <v>35</v>
      </c>
      <c r="J653"/>
      <c r="K653">
        <v>9.32</v>
      </c>
      <c r="L653">
        <v>0.0</v>
      </c>
      <c r="M653"/>
      <c r="N653"/>
      <c r="O653">
        <v>1.68</v>
      </c>
      <c r="P653">
        <v>0.0</v>
      </c>
      <c r="Q653">
        <v>11.0</v>
      </c>
      <c r="R653"/>
      <c r="S653"/>
      <c r="T653"/>
      <c r="U653"/>
      <c r="V653"/>
      <c r="W653">
        <v>18</v>
      </c>
    </row>
    <row r="654" spans="1:23">
      <c r="A654"/>
      <c r="B654" t="s">
        <v>116</v>
      </c>
      <c r="C654" t="s">
        <v>116</v>
      </c>
      <c r="D654" t="s">
        <v>33</v>
      </c>
      <c r="E654" t="s">
        <v>34</v>
      </c>
      <c r="F654" t="str">
        <f>"0017184"</f>
        <v>0017184</v>
      </c>
      <c r="G654">
        <v>1</v>
      </c>
      <c r="H654" t="str">
        <f>"00000001"</f>
        <v>00000001</v>
      </c>
      <c r="I654" t="s">
        <v>35</v>
      </c>
      <c r="J654"/>
      <c r="K654">
        <v>5.08</v>
      </c>
      <c r="L654">
        <v>0.0</v>
      </c>
      <c r="M654"/>
      <c r="N654"/>
      <c r="O654">
        <v>0.92</v>
      </c>
      <c r="P654">
        <v>0.0</v>
      </c>
      <c r="Q654">
        <v>6.0</v>
      </c>
      <c r="R654"/>
      <c r="S654"/>
      <c r="T654"/>
      <c r="U654"/>
      <c r="V654"/>
      <c r="W654">
        <v>18</v>
      </c>
    </row>
    <row r="655" spans="1:23">
      <c r="A655"/>
      <c r="B655" t="s">
        <v>116</v>
      </c>
      <c r="C655" t="s">
        <v>116</v>
      </c>
      <c r="D655" t="s">
        <v>33</v>
      </c>
      <c r="E655" t="s">
        <v>34</v>
      </c>
      <c r="F655" t="str">
        <f>"0017185"</f>
        <v>0017185</v>
      </c>
      <c r="G655">
        <v>1</v>
      </c>
      <c r="H655" t="str">
        <f>"00000001"</f>
        <v>00000001</v>
      </c>
      <c r="I655" t="s">
        <v>35</v>
      </c>
      <c r="J655"/>
      <c r="K655">
        <v>10.17</v>
      </c>
      <c r="L655">
        <v>0.0</v>
      </c>
      <c r="M655"/>
      <c r="N655"/>
      <c r="O655">
        <v>1.83</v>
      </c>
      <c r="P655">
        <v>0.0</v>
      </c>
      <c r="Q655">
        <v>12.0</v>
      </c>
      <c r="R655"/>
      <c r="S655"/>
      <c r="T655"/>
      <c r="U655"/>
      <c r="V655"/>
      <c r="W655">
        <v>18</v>
      </c>
    </row>
    <row r="656" spans="1:23">
      <c r="A656"/>
      <c r="B656" t="s">
        <v>118</v>
      </c>
      <c r="C656" t="s">
        <v>118</v>
      </c>
      <c r="D656" t="s">
        <v>33</v>
      </c>
      <c r="E656" t="s">
        <v>34</v>
      </c>
      <c r="F656" t="str">
        <f>"0017186"</f>
        <v>0017186</v>
      </c>
      <c r="G656">
        <v>1</v>
      </c>
      <c r="H656" t="str">
        <f>"00000001"</f>
        <v>00000001</v>
      </c>
      <c r="I656" t="s">
        <v>35</v>
      </c>
      <c r="J656"/>
      <c r="K656">
        <v>13.56</v>
      </c>
      <c r="L656">
        <v>0.0</v>
      </c>
      <c r="M656"/>
      <c r="N656"/>
      <c r="O656">
        <v>2.44</v>
      </c>
      <c r="P656">
        <v>0.0</v>
      </c>
      <c r="Q656">
        <v>16.0</v>
      </c>
      <c r="R656"/>
      <c r="S656"/>
      <c r="T656"/>
      <c r="U656"/>
      <c r="V656"/>
      <c r="W656">
        <v>18</v>
      </c>
    </row>
    <row r="657" spans="1:23">
      <c r="A657"/>
      <c r="B657" t="s">
        <v>118</v>
      </c>
      <c r="C657" t="s">
        <v>118</v>
      </c>
      <c r="D657" t="s">
        <v>33</v>
      </c>
      <c r="E657" t="s">
        <v>34</v>
      </c>
      <c r="F657" t="str">
        <f>"0017187"</f>
        <v>0017187</v>
      </c>
      <c r="G657">
        <v>1</v>
      </c>
      <c r="H657" t="str">
        <f>"00000001"</f>
        <v>00000001</v>
      </c>
      <c r="I657" t="s">
        <v>35</v>
      </c>
      <c r="J657"/>
      <c r="K657">
        <v>118.64</v>
      </c>
      <c r="L657">
        <v>0.0</v>
      </c>
      <c r="M657"/>
      <c r="N657"/>
      <c r="O657">
        <v>21.35</v>
      </c>
      <c r="P657">
        <v>0.0</v>
      </c>
      <c r="Q657">
        <v>139.99</v>
      </c>
      <c r="R657"/>
      <c r="S657"/>
      <c r="T657"/>
      <c r="U657"/>
      <c r="V657"/>
      <c r="W657">
        <v>18</v>
      </c>
    </row>
    <row r="658" spans="1:23">
      <c r="A658"/>
      <c r="B658" t="s">
        <v>118</v>
      </c>
      <c r="C658" t="s">
        <v>118</v>
      </c>
      <c r="D658" t="s">
        <v>33</v>
      </c>
      <c r="E658" t="s">
        <v>34</v>
      </c>
      <c r="F658" t="str">
        <f>"0017188"</f>
        <v>0017188</v>
      </c>
      <c r="G658">
        <v>1</v>
      </c>
      <c r="H658" t="str">
        <f>"00000001"</f>
        <v>00000001</v>
      </c>
      <c r="I658" t="s">
        <v>35</v>
      </c>
      <c r="J658"/>
      <c r="K658">
        <v>103.81</v>
      </c>
      <c r="L658">
        <v>0.0</v>
      </c>
      <c r="M658"/>
      <c r="N658"/>
      <c r="O658">
        <v>18.69</v>
      </c>
      <c r="P658">
        <v>0.0</v>
      </c>
      <c r="Q658">
        <v>122.5</v>
      </c>
      <c r="R658"/>
      <c r="S658"/>
      <c r="T658"/>
      <c r="U658"/>
      <c r="V658"/>
      <c r="W658">
        <v>18</v>
      </c>
    </row>
    <row r="659" spans="1:23">
      <c r="A659"/>
      <c r="B659" t="s">
        <v>118</v>
      </c>
      <c r="C659" t="s">
        <v>118</v>
      </c>
      <c r="D659" t="s">
        <v>33</v>
      </c>
      <c r="E659" t="s">
        <v>34</v>
      </c>
      <c r="F659" t="str">
        <f>"0017189"</f>
        <v>0017189</v>
      </c>
      <c r="G659">
        <v>1</v>
      </c>
      <c r="H659" t="str">
        <f>"00000001"</f>
        <v>00000001</v>
      </c>
      <c r="I659" t="s">
        <v>35</v>
      </c>
      <c r="J659"/>
      <c r="K659">
        <v>90.68</v>
      </c>
      <c r="L659">
        <v>0.0</v>
      </c>
      <c r="M659"/>
      <c r="N659"/>
      <c r="O659">
        <v>16.32</v>
      </c>
      <c r="P659">
        <v>0.0</v>
      </c>
      <c r="Q659">
        <v>107.0</v>
      </c>
      <c r="R659"/>
      <c r="S659"/>
      <c r="T659"/>
      <c r="U659"/>
      <c r="V659"/>
      <c r="W659">
        <v>18</v>
      </c>
    </row>
    <row r="660" spans="1:23">
      <c r="A660"/>
      <c r="B660" t="s">
        <v>118</v>
      </c>
      <c r="C660" t="s">
        <v>118</v>
      </c>
      <c r="D660" t="s">
        <v>33</v>
      </c>
      <c r="E660" t="s">
        <v>34</v>
      </c>
      <c r="F660" t="str">
        <f>"0017190"</f>
        <v>0017190</v>
      </c>
      <c r="G660">
        <v>1</v>
      </c>
      <c r="H660" t="str">
        <f>"00000001"</f>
        <v>00000001</v>
      </c>
      <c r="I660" t="s">
        <v>35</v>
      </c>
      <c r="J660"/>
      <c r="K660">
        <v>118.64</v>
      </c>
      <c r="L660">
        <v>0.0</v>
      </c>
      <c r="M660"/>
      <c r="N660"/>
      <c r="O660">
        <v>21.36</v>
      </c>
      <c r="P660">
        <v>0.0</v>
      </c>
      <c r="Q660">
        <v>140.0</v>
      </c>
      <c r="R660"/>
      <c r="S660"/>
      <c r="T660"/>
      <c r="U660"/>
      <c r="V660"/>
      <c r="W660">
        <v>18</v>
      </c>
    </row>
    <row r="661" spans="1:23">
      <c r="A661"/>
      <c r="B661" t="s">
        <v>118</v>
      </c>
      <c r="C661" t="s">
        <v>118</v>
      </c>
      <c r="D661" t="s">
        <v>33</v>
      </c>
      <c r="E661" t="s">
        <v>34</v>
      </c>
      <c r="F661" t="str">
        <f>"0017191"</f>
        <v>0017191</v>
      </c>
      <c r="G661">
        <v>1</v>
      </c>
      <c r="H661" t="str">
        <f>"00000001"</f>
        <v>00000001</v>
      </c>
      <c r="I661" t="s">
        <v>35</v>
      </c>
      <c r="J661"/>
      <c r="K661">
        <v>1.02</v>
      </c>
      <c r="L661">
        <v>0.0</v>
      </c>
      <c r="M661"/>
      <c r="N661"/>
      <c r="O661">
        <v>0.18</v>
      </c>
      <c r="P661">
        <v>0.0</v>
      </c>
      <c r="Q661">
        <v>1.2</v>
      </c>
      <c r="R661"/>
      <c r="S661"/>
      <c r="T661"/>
      <c r="U661"/>
      <c r="V661"/>
      <c r="W661">
        <v>18</v>
      </c>
    </row>
    <row r="662" spans="1:23">
      <c r="A662"/>
      <c r="B662" t="s">
        <v>118</v>
      </c>
      <c r="C662" t="s">
        <v>118</v>
      </c>
      <c r="D662" t="s">
        <v>33</v>
      </c>
      <c r="E662" t="s">
        <v>34</v>
      </c>
      <c r="F662" t="str">
        <f>"0017192"</f>
        <v>0017192</v>
      </c>
      <c r="G662">
        <v>1</v>
      </c>
      <c r="H662" t="str">
        <f>"00000001"</f>
        <v>00000001</v>
      </c>
      <c r="I662" t="s">
        <v>35</v>
      </c>
      <c r="J662"/>
      <c r="K662">
        <v>13.56</v>
      </c>
      <c r="L662">
        <v>0.0</v>
      </c>
      <c r="M662"/>
      <c r="N662"/>
      <c r="O662">
        <v>2.44</v>
      </c>
      <c r="P662">
        <v>0.0</v>
      </c>
      <c r="Q662">
        <v>16.0</v>
      </c>
      <c r="R662"/>
      <c r="S662"/>
      <c r="T662"/>
      <c r="U662"/>
      <c r="V662"/>
      <c r="W662">
        <v>18</v>
      </c>
    </row>
    <row r="663" spans="1:23">
      <c r="A663"/>
      <c r="B663" t="s">
        <v>118</v>
      </c>
      <c r="C663" t="s">
        <v>118</v>
      </c>
      <c r="D663" t="s">
        <v>33</v>
      </c>
      <c r="E663" t="s">
        <v>34</v>
      </c>
      <c r="F663" t="str">
        <f>"0017193"</f>
        <v>0017193</v>
      </c>
      <c r="G663">
        <v>1</v>
      </c>
      <c r="H663" t="str">
        <f>"00000001"</f>
        <v>00000001</v>
      </c>
      <c r="I663" t="s">
        <v>35</v>
      </c>
      <c r="J663"/>
      <c r="K663">
        <v>20.34</v>
      </c>
      <c r="L663">
        <v>0.0</v>
      </c>
      <c r="M663"/>
      <c r="N663"/>
      <c r="O663">
        <v>3.66</v>
      </c>
      <c r="P663">
        <v>0.0</v>
      </c>
      <c r="Q663">
        <v>24.0</v>
      </c>
      <c r="R663"/>
      <c r="S663"/>
      <c r="T663"/>
      <c r="U663"/>
      <c r="V663"/>
      <c r="W663">
        <v>18</v>
      </c>
    </row>
    <row r="664" spans="1:23">
      <c r="A664"/>
      <c r="B664" t="s">
        <v>118</v>
      </c>
      <c r="C664" t="s">
        <v>118</v>
      </c>
      <c r="D664" t="s">
        <v>33</v>
      </c>
      <c r="E664" t="s">
        <v>34</v>
      </c>
      <c r="F664" t="str">
        <f>"0017194"</f>
        <v>0017194</v>
      </c>
      <c r="G664">
        <v>1</v>
      </c>
      <c r="H664" t="str">
        <f>"00000001"</f>
        <v>00000001</v>
      </c>
      <c r="I664" t="s">
        <v>35</v>
      </c>
      <c r="J664"/>
      <c r="K664">
        <v>63.56</v>
      </c>
      <c r="L664">
        <v>0.0</v>
      </c>
      <c r="M664"/>
      <c r="N664"/>
      <c r="O664">
        <v>11.44</v>
      </c>
      <c r="P664">
        <v>0.0</v>
      </c>
      <c r="Q664">
        <v>75.0</v>
      </c>
      <c r="R664"/>
      <c r="S664"/>
      <c r="T664"/>
      <c r="U664"/>
      <c r="V664"/>
      <c r="W664">
        <v>18</v>
      </c>
    </row>
    <row r="665" spans="1:23">
      <c r="A665"/>
      <c r="B665" t="s">
        <v>118</v>
      </c>
      <c r="C665" t="s">
        <v>118</v>
      </c>
      <c r="D665" t="s">
        <v>33</v>
      </c>
      <c r="E665" t="s">
        <v>34</v>
      </c>
      <c r="F665" t="str">
        <f>"0017195"</f>
        <v>0017195</v>
      </c>
      <c r="G665">
        <v>1</v>
      </c>
      <c r="H665" t="str">
        <f>"00000001"</f>
        <v>00000001</v>
      </c>
      <c r="I665" t="s">
        <v>35</v>
      </c>
      <c r="J665"/>
      <c r="K665">
        <v>440.68</v>
      </c>
      <c r="L665">
        <v>0.0</v>
      </c>
      <c r="M665"/>
      <c r="N665"/>
      <c r="O665">
        <v>79.32</v>
      </c>
      <c r="P665">
        <v>0.0</v>
      </c>
      <c r="Q665">
        <v>520.0</v>
      </c>
      <c r="R665"/>
      <c r="S665"/>
      <c r="T665"/>
      <c r="U665"/>
      <c r="V665"/>
      <c r="W665">
        <v>18</v>
      </c>
    </row>
    <row r="666" spans="1:23">
      <c r="A666"/>
      <c r="B666" t="s">
        <v>118</v>
      </c>
      <c r="C666" t="s">
        <v>118</v>
      </c>
      <c r="D666" t="s">
        <v>33</v>
      </c>
      <c r="E666" t="s">
        <v>34</v>
      </c>
      <c r="F666" t="str">
        <f>"0017196"</f>
        <v>0017196</v>
      </c>
      <c r="G666">
        <v>1</v>
      </c>
      <c r="H666" t="str">
        <f>"00000001"</f>
        <v>00000001</v>
      </c>
      <c r="I666" t="s">
        <v>35</v>
      </c>
      <c r="J666"/>
      <c r="K666">
        <v>42.37</v>
      </c>
      <c r="L666">
        <v>0.0</v>
      </c>
      <c r="M666"/>
      <c r="N666"/>
      <c r="O666">
        <v>7.63</v>
      </c>
      <c r="P666">
        <v>0.0</v>
      </c>
      <c r="Q666">
        <v>50.0</v>
      </c>
      <c r="R666"/>
      <c r="S666"/>
      <c r="T666"/>
      <c r="U666"/>
      <c r="V666"/>
      <c r="W666">
        <v>18</v>
      </c>
    </row>
    <row r="667" spans="1:23">
      <c r="A667"/>
      <c r="B667" t="s">
        <v>118</v>
      </c>
      <c r="C667" t="s">
        <v>118</v>
      </c>
      <c r="D667" t="s">
        <v>33</v>
      </c>
      <c r="E667" t="s">
        <v>34</v>
      </c>
      <c r="F667" t="str">
        <f>"0017197"</f>
        <v>0017197</v>
      </c>
      <c r="G667">
        <v>1</v>
      </c>
      <c r="H667" t="str">
        <f>"00000001"</f>
        <v>00000001</v>
      </c>
      <c r="I667" t="s">
        <v>35</v>
      </c>
      <c r="J667"/>
      <c r="K667">
        <v>23.73</v>
      </c>
      <c r="L667">
        <v>0.0</v>
      </c>
      <c r="M667"/>
      <c r="N667"/>
      <c r="O667">
        <v>4.27</v>
      </c>
      <c r="P667">
        <v>0.0</v>
      </c>
      <c r="Q667">
        <v>28.0</v>
      </c>
      <c r="R667"/>
      <c r="S667"/>
      <c r="T667"/>
      <c r="U667"/>
      <c r="V667"/>
      <c r="W667">
        <v>18</v>
      </c>
    </row>
    <row r="668" spans="1:23">
      <c r="A668"/>
      <c r="B668" t="s">
        <v>118</v>
      </c>
      <c r="C668" t="s">
        <v>118</v>
      </c>
      <c r="D668" t="s">
        <v>33</v>
      </c>
      <c r="E668" t="s">
        <v>34</v>
      </c>
      <c r="F668" t="str">
        <f>"0017198"</f>
        <v>0017198</v>
      </c>
      <c r="G668">
        <v>6</v>
      </c>
      <c r="H668" t="str">
        <f>"20608473174"</f>
        <v>20608473174</v>
      </c>
      <c r="I668" t="s">
        <v>59</v>
      </c>
      <c r="J668"/>
      <c r="K668">
        <v>40.68</v>
      </c>
      <c r="L668">
        <v>0.0</v>
      </c>
      <c r="M668"/>
      <c r="N668"/>
      <c r="O668">
        <v>7.32</v>
      </c>
      <c r="P668">
        <v>0.0</v>
      </c>
      <c r="Q668">
        <v>48.0</v>
      </c>
      <c r="R668"/>
      <c r="S668"/>
      <c r="T668"/>
      <c r="U668"/>
      <c r="V668"/>
      <c r="W668">
        <v>18</v>
      </c>
    </row>
    <row r="669" spans="1:23">
      <c r="A669"/>
      <c r="B669" t="s">
        <v>118</v>
      </c>
      <c r="C669" t="s">
        <v>118</v>
      </c>
      <c r="D669" t="s">
        <v>33</v>
      </c>
      <c r="E669" t="s">
        <v>34</v>
      </c>
      <c r="F669" t="str">
        <f>"0017199"</f>
        <v>0017199</v>
      </c>
      <c r="G669">
        <v>1</v>
      </c>
      <c r="H669" t="str">
        <f>"00000001"</f>
        <v>00000001</v>
      </c>
      <c r="I669" t="s">
        <v>35</v>
      </c>
      <c r="J669"/>
      <c r="K669">
        <v>66.1</v>
      </c>
      <c r="L669">
        <v>0.0</v>
      </c>
      <c r="M669"/>
      <c r="N669"/>
      <c r="O669">
        <v>11.9</v>
      </c>
      <c r="P669">
        <v>0.0</v>
      </c>
      <c r="Q669">
        <v>78.0</v>
      </c>
      <c r="R669"/>
      <c r="S669"/>
      <c r="T669"/>
      <c r="U669"/>
      <c r="V669"/>
      <c r="W669">
        <v>18</v>
      </c>
    </row>
    <row r="670" spans="1:23">
      <c r="A670"/>
      <c r="B670" t="s">
        <v>118</v>
      </c>
      <c r="C670" t="s">
        <v>118</v>
      </c>
      <c r="D670" t="s">
        <v>33</v>
      </c>
      <c r="E670" t="s">
        <v>34</v>
      </c>
      <c r="F670" t="str">
        <f>"0017200"</f>
        <v>0017200</v>
      </c>
      <c r="G670">
        <v>1</v>
      </c>
      <c r="H670" t="str">
        <f>"00000001"</f>
        <v>00000001</v>
      </c>
      <c r="I670" t="s">
        <v>35</v>
      </c>
      <c r="J670"/>
      <c r="K670">
        <v>12.71</v>
      </c>
      <c r="L670">
        <v>0.0</v>
      </c>
      <c r="M670"/>
      <c r="N670"/>
      <c r="O670">
        <v>2.29</v>
      </c>
      <c r="P670">
        <v>0.0</v>
      </c>
      <c r="Q670">
        <v>15.0</v>
      </c>
      <c r="R670"/>
      <c r="S670"/>
      <c r="T670"/>
      <c r="U670"/>
      <c r="V670"/>
      <c r="W670">
        <v>18</v>
      </c>
    </row>
    <row r="671" spans="1:23">
      <c r="A671"/>
      <c r="B671" t="s">
        <v>119</v>
      </c>
      <c r="C671" t="s">
        <v>119</v>
      </c>
      <c r="D671" t="s">
        <v>33</v>
      </c>
      <c r="E671" t="s">
        <v>34</v>
      </c>
      <c r="F671" t="str">
        <f>"0017201"</f>
        <v>0017201</v>
      </c>
      <c r="G671">
        <v>6</v>
      </c>
      <c r="H671" t="str">
        <f>"20326108627"</f>
        <v>20326108627</v>
      </c>
      <c r="I671" t="s">
        <v>60</v>
      </c>
      <c r="J671"/>
      <c r="K671">
        <v>72.03</v>
      </c>
      <c r="L671">
        <v>0.0</v>
      </c>
      <c r="M671"/>
      <c r="N671"/>
      <c r="O671">
        <v>12.97</v>
      </c>
      <c r="P671">
        <v>0.0</v>
      </c>
      <c r="Q671">
        <v>85.0</v>
      </c>
      <c r="R671"/>
      <c r="S671"/>
      <c r="T671"/>
      <c r="U671"/>
      <c r="V671"/>
      <c r="W671">
        <v>18</v>
      </c>
    </row>
    <row r="672" spans="1:23">
      <c r="A672"/>
      <c r="B672" t="s">
        <v>119</v>
      </c>
      <c r="C672" t="s">
        <v>119</v>
      </c>
      <c r="D672" t="s">
        <v>33</v>
      </c>
      <c r="E672" t="s">
        <v>34</v>
      </c>
      <c r="F672" t="str">
        <f>"0017202"</f>
        <v>0017202</v>
      </c>
      <c r="G672">
        <v>1</v>
      </c>
      <c r="H672" t="str">
        <f>"26673454"</f>
        <v>26673454</v>
      </c>
      <c r="I672" t="s">
        <v>120</v>
      </c>
      <c r="J672"/>
      <c r="K672">
        <v>25.85</v>
      </c>
      <c r="L672">
        <v>0.0</v>
      </c>
      <c r="M672"/>
      <c r="N672"/>
      <c r="O672">
        <v>4.65</v>
      </c>
      <c r="P672">
        <v>0.0</v>
      </c>
      <c r="Q672">
        <v>30.5</v>
      </c>
      <c r="R672"/>
      <c r="S672"/>
      <c r="T672"/>
      <c r="U672"/>
      <c r="V672"/>
      <c r="W672">
        <v>18</v>
      </c>
    </row>
    <row r="673" spans="1:23">
      <c r="A673"/>
      <c r="B673" t="s">
        <v>119</v>
      </c>
      <c r="C673" t="s">
        <v>119</v>
      </c>
      <c r="D673" t="s">
        <v>33</v>
      </c>
      <c r="E673" t="s">
        <v>34</v>
      </c>
      <c r="F673" t="str">
        <f>"0017203"</f>
        <v>0017203</v>
      </c>
      <c r="G673">
        <v>1</v>
      </c>
      <c r="H673" t="str">
        <f>"00082661"</f>
        <v>00082661</v>
      </c>
      <c r="I673" t="s">
        <v>121</v>
      </c>
      <c r="J673"/>
      <c r="K673">
        <v>23.73</v>
      </c>
      <c r="L673">
        <v>0.0</v>
      </c>
      <c r="M673"/>
      <c r="N673"/>
      <c r="O673">
        <v>4.27</v>
      </c>
      <c r="P673">
        <v>0.0</v>
      </c>
      <c r="Q673">
        <v>28.0</v>
      </c>
      <c r="R673"/>
      <c r="S673"/>
      <c r="T673"/>
      <c r="U673"/>
      <c r="V673"/>
      <c r="W673">
        <v>18</v>
      </c>
    </row>
    <row r="674" spans="1:23">
      <c r="A674"/>
      <c r="B674" t="s">
        <v>119</v>
      </c>
      <c r="C674" t="s">
        <v>119</v>
      </c>
      <c r="D674" t="s">
        <v>36</v>
      </c>
      <c r="E674" t="s">
        <v>37</v>
      </c>
      <c r="F674" t="str">
        <f>"0001393"</f>
        <v>0001393</v>
      </c>
      <c r="G674">
        <v>6</v>
      </c>
      <c r="H674" t="str">
        <f>"20529449616"</f>
        <v>20529449616</v>
      </c>
      <c r="I674" t="s">
        <v>122</v>
      </c>
      <c r="J674"/>
      <c r="K674">
        <v>84.75</v>
      </c>
      <c r="L674">
        <v>0.0</v>
      </c>
      <c r="M674"/>
      <c r="N674"/>
      <c r="O674">
        <v>15.25</v>
      </c>
      <c r="P674">
        <v>0.0</v>
      </c>
      <c r="Q674">
        <v>100.0</v>
      </c>
      <c r="R674"/>
      <c r="S674"/>
      <c r="T674"/>
      <c r="U674"/>
      <c r="V674"/>
      <c r="W674">
        <v>18</v>
      </c>
    </row>
    <row r="675" spans="1:23">
      <c r="A675"/>
      <c r="B675" t="s">
        <v>119</v>
      </c>
      <c r="C675" t="s">
        <v>119</v>
      </c>
      <c r="D675" t="s">
        <v>33</v>
      </c>
      <c r="E675" t="s">
        <v>34</v>
      </c>
      <c r="F675" t="str">
        <f>"0017204"</f>
        <v>0017204</v>
      </c>
      <c r="G675">
        <v>1</v>
      </c>
      <c r="H675" t="str">
        <f>"00000001"</f>
        <v>00000001</v>
      </c>
      <c r="I675" t="s">
        <v>35</v>
      </c>
      <c r="J675"/>
      <c r="K675">
        <v>25.42</v>
      </c>
      <c r="L675">
        <v>0.0</v>
      </c>
      <c r="M675"/>
      <c r="N675"/>
      <c r="O675">
        <v>4.58</v>
      </c>
      <c r="P675">
        <v>0.0</v>
      </c>
      <c r="Q675">
        <v>30.0</v>
      </c>
      <c r="R675"/>
      <c r="S675"/>
      <c r="T675"/>
      <c r="U675"/>
      <c r="V675"/>
      <c r="W675">
        <v>18</v>
      </c>
    </row>
    <row r="676" spans="1:23">
      <c r="A676"/>
      <c r="B676" t="s">
        <v>119</v>
      </c>
      <c r="C676" t="s">
        <v>119</v>
      </c>
      <c r="D676" t="s">
        <v>33</v>
      </c>
      <c r="E676" t="s">
        <v>34</v>
      </c>
      <c r="F676" t="str">
        <f>"0017205"</f>
        <v>0017205</v>
      </c>
      <c r="G676">
        <v>1</v>
      </c>
      <c r="H676" t="str">
        <f>"00000001"</f>
        <v>00000001</v>
      </c>
      <c r="I676" t="s">
        <v>35</v>
      </c>
      <c r="J676"/>
      <c r="K676">
        <v>55.93</v>
      </c>
      <c r="L676">
        <v>0.0</v>
      </c>
      <c r="M676"/>
      <c r="N676"/>
      <c r="O676">
        <v>10.07</v>
      </c>
      <c r="P676">
        <v>0.0</v>
      </c>
      <c r="Q676">
        <v>66.0</v>
      </c>
      <c r="R676"/>
      <c r="S676"/>
      <c r="T676"/>
      <c r="U676"/>
      <c r="V676"/>
      <c r="W676">
        <v>18</v>
      </c>
    </row>
    <row r="677" spans="1:23">
      <c r="A677"/>
      <c r="B677" t="s">
        <v>119</v>
      </c>
      <c r="C677" t="s">
        <v>119</v>
      </c>
      <c r="D677" t="s">
        <v>33</v>
      </c>
      <c r="E677" t="s">
        <v>34</v>
      </c>
      <c r="F677" t="str">
        <f>"0017206"</f>
        <v>0017206</v>
      </c>
      <c r="G677">
        <v>1</v>
      </c>
      <c r="H677" t="str">
        <f>"000iensl"</f>
        <v>000iensl</v>
      </c>
      <c r="I677" t="s">
        <v>86</v>
      </c>
      <c r="J677"/>
      <c r="K677">
        <v>5.08</v>
      </c>
      <c r="L677">
        <v>0.0</v>
      </c>
      <c r="M677"/>
      <c r="N677"/>
      <c r="O677">
        <v>0.92</v>
      </c>
      <c r="P677">
        <v>0.0</v>
      </c>
      <c r="Q677">
        <v>6.0</v>
      </c>
      <c r="R677"/>
      <c r="S677"/>
      <c r="T677"/>
      <c r="U677"/>
      <c r="V677"/>
      <c r="W677">
        <v>18</v>
      </c>
    </row>
    <row r="678" spans="1:23">
      <c r="A678"/>
      <c r="B678" t="s">
        <v>119</v>
      </c>
      <c r="C678" t="s">
        <v>119</v>
      </c>
      <c r="D678" t="s">
        <v>33</v>
      </c>
      <c r="E678" t="s">
        <v>34</v>
      </c>
      <c r="F678" t="str">
        <f>"0017207"</f>
        <v>0017207</v>
      </c>
      <c r="G678">
        <v>1</v>
      </c>
      <c r="H678" t="str">
        <f>"00000001"</f>
        <v>00000001</v>
      </c>
      <c r="I678" t="s">
        <v>35</v>
      </c>
      <c r="J678"/>
      <c r="K678">
        <v>3.39</v>
      </c>
      <c r="L678">
        <v>0.0</v>
      </c>
      <c r="M678"/>
      <c r="N678"/>
      <c r="O678">
        <v>0.61</v>
      </c>
      <c r="P678">
        <v>0.0</v>
      </c>
      <c r="Q678">
        <v>4.0</v>
      </c>
      <c r="R678"/>
      <c r="S678"/>
      <c r="T678"/>
      <c r="U678"/>
      <c r="V678"/>
      <c r="W678">
        <v>18</v>
      </c>
    </row>
    <row r="679" spans="1:23">
      <c r="A679"/>
      <c r="B679" t="s">
        <v>119</v>
      </c>
      <c r="C679" t="s">
        <v>119</v>
      </c>
      <c r="D679" t="s">
        <v>33</v>
      </c>
      <c r="E679" t="s">
        <v>34</v>
      </c>
      <c r="F679" t="str">
        <f>"0017208"</f>
        <v>0017208</v>
      </c>
      <c r="G679">
        <v>1</v>
      </c>
      <c r="H679" t="str">
        <f>"00000001"</f>
        <v>00000001</v>
      </c>
      <c r="I679" t="s">
        <v>35</v>
      </c>
      <c r="J679"/>
      <c r="K679">
        <v>9.32</v>
      </c>
      <c r="L679">
        <v>0.0</v>
      </c>
      <c r="M679"/>
      <c r="N679"/>
      <c r="O679">
        <v>1.68</v>
      </c>
      <c r="P679">
        <v>0.0</v>
      </c>
      <c r="Q679">
        <v>11.0</v>
      </c>
      <c r="R679"/>
      <c r="S679"/>
      <c r="T679"/>
      <c r="U679"/>
      <c r="V679"/>
      <c r="W679">
        <v>18</v>
      </c>
    </row>
    <row r="680" spans="1:23">
      <c r="A680"/>
      <c r="B680" t="s">
        <v>119</v>
      </c>
      <c r="C680" t="s">
        <v>119</v>
      </c>
      <c r="D680" t="s">
        <v>33</v>
      </c>
      <c r="E680" t="s">
        <v>34</v>
      </c>
      <c r="F680" t="str">
        <f>"0017209"</f>
        <v>0017209</v>
      </c>
      <c r="G680">
        <v>1</v>
      </c>
      <c r="H680" t="str">
        <f>"00000001"</f>
        <v>00000001</v>
      </c>
      <c r="I680" t="s">
        <v>35</v>
      </c>
      <c r="J680"/>
      <c r="K680">
        <v>16.95</v>
      </c>
      <c r="L680">
        <v>0.0</v>
      </c>
      <c r="M680"/>
      <c r="N680"/>
      <c r="O680">
        <v>3.05</v>
      </c>
      <c r="P680">
        <v>0.0</v>
      </c>
      <c r="Q680">
        <v>20.0</v>
      </c>
      <c r="R680"/>
      <c r="S680"/>
      <c r="T680"/>
      <c r="U680"/>
      <c r="V680"/>
      <c r="W680">
        <v>18</v>
      </c>
    </row>
    <row r="681" spans="1:23">
      <c r="A681"/>
      <c r="B681" t="s">
        <v>119</v>
      </c>
      <c r="C681" t="s">
        <v>119</v>
      </c>
      <c r="D681" t="s">
        <v>33</v>
      </c>
      <c r="E681" t="s">
        <v>34</v>
      </c>
      <c r="F681" t="str">
        <f>"0017210"</f>
        <v>0017210</v>
      </c>
      <c r="G681">
        <v>1</v>
      </c>
      <c r="H681" t="str">
        <f>"00000001"</f>
        <v>00000001</v>
      </c>
      <c r="I681" t="s">
        <v>35</v>
      </c>
      <c r="J681"/>
      <c r="K681">
        <v>14.41</v>
      </c>
      <c r="L681">
        <v>0.0</v>
      </c>
      <c r="M681"/>
      <c r="N681"/>
      <c r="O681">
        <v>2.59</v>
      </c>
      <c r="P681">
        <v>0.0</v>
      </c>
      <c r="Q681">
        <v>17.0</v>
      </c>
      <c r="R681"/>
      <c r="S681"/>
      <c r="T681"/>
      <c r="U681"/>
      <c r="V681"/>
      <c r="W681">
        <v>18</v>
      </c>
    </row>
    <row r="682" spans="1:23">
      <c r="A682"/>
      <c r="B682" t="s">
        <v>119</v>
      </c>
      <c r="C682" t="s">
        <v>119</v>
      </c>
      <c r="D682" t="s">
        <v>33</v>
      </c>
      <c r="E682" t="s">
        <v>34</v>
      </c>
      <c r="F682" t="str">
        <f>"0017211"</f>
        <v>0017211</v>
      </c>
      <c r="G682">
        <v>1</v>
      </c>
      <c r="H682" t="str">
        <f>"00000001"</f>
        <v>00000001</v>
      </c>
      <c r="I682" t="s">
        <v>35</v>
      </c>
      <c r="J682"/>
      <c r="K682">
        <v>14.41</v>
      </c>
      <c r="L682">
        <v>0.0</v>
      </c>
      <c r="M682"/>
      <c r="N682"/>
      <c r="O682">
        <v>2.59</v>
      </c>
      <c r="P682">
        <v>0.0</v>
      </c>
      <c r="Q682">
        <v>17.0</v>
      </c>
      <c r="R682"/>
      <c r="S682"/>
      <c r="T682"/>
      <c r="U682"/>
      <c r="V682"/>
      <c r="W682">
        <v>18</v>
      </c>
    </row>
    <row r="683" spans="1:23">
      <c r="A683"/>
      <c r="B683" t="s">
        <v>119</v>
      </c>
      <c r="C683" t="s">
        <v>119</v>
      </c>
      <c r="D683" t="s">
        <v>36</v>
      </c>
      <c r="E683" t="s">
        <v>37</v>
      </c>
      <c r="F683" t="str">
        <f>"0001394"</f>
        <v>0001394</v>
      </c>
      <c r="G683">
        <v>6</v>
      </c>
      <c r="H683" t="str">
        <f>"20148258601"</f>
        <v>20148258601</v>
      </c>
      <c r="I683" t="s">
        <v>117</v>
      </c>
      <c r="J683"/>
      <c r="K683">
        <v>42.37</v>
      </c>
      <c r="L683">
        <v>0.0</v>
      </c>
      <c r="M683"/>
      <c r="N683"/>
      <c r="O683">
        <v>7.63</v>
      </c>
      <c r="P683">
        <v>0.0</v>
      </c>
      <c r="Q683">
        <v>50.0</v>
      </c>
      <c r="R683"/>
      <c r="S683"/>
      <c r="T683"/>
      <c r="U683"/>
      <c r="V683"/>
      <c r="W683">
        <v>18</v>
      </c>
    </row>
    <row r="684" spans="1:23">
      <c r="A684"/>
      <c r="B684" t="s">
        <v>119</v>
      </c>
      <c r="C684" t="s">
        <v>119</v>
      </c>
      <c r="D684" t="s">
        <v>36</v>
      </c>
      <c r="E684" t="s">
        <v>37</v>
      </c>
      <c r="F684" t="str">
        <f>"0001395"</f>
        <v>0001395</v>
      </c>
      <c r="G684">
        <v>6</v>
      </c>
      <c r="H684" t="str">
        <f>"20148258601"</f>
        <v>20148258601</v>
      </c>
      <c r="I684" t="s">
        <v>117</v>
      </c>
      <c r="J684"/>
      <c r="K684">
        <v>25.42</v>
      </c>
      <c r="L684">
        <v>0.0</v>
      </c>
      <c r="M684"/>
      <c r="N684"/>
      <c r="O684">
        <v>4.58</v>
      </c>
      <c r="P684">
        <v>0.0</v>
      </c>
      <c r="Q684">
        <v>30.0</v>
      </c>
      <c r="R684"/>
      <c r="S684"/>
      <c r="T684"/>
      <c r="U684"/>
      <c r="V684"/>
      <c r="W684">
        <v>18</v>
      </c>
    </row>
    <row r="685" spans="1:23">
      <c r="A685"/>
      <c r="B685" t="s">
        <v>119</v>
      </c>
      <c r="C685" t="s">
        <v>119</v>
      </c>
      <c r="D685" t="s">
        <v>33</v>
      </c>
      <c r="E685" t="s">
        <v>34</v>
      </c>
      <c r="F685" t="str">
        <f>"0017212"</f>
        <v>0017212</v>
      </c>
      <c r="G685">
        <v>1</v>
      </c>
      <c r="H685" t="str">
        <f>"00000001"</f>
        <v>00000001</v>
      </c>
      <c r="I685" t="s">
        <v>35</v>
      </c>
      <c r="J685"/>
      <c r="K685">
        <v>18.64</v>
      </c>
      <c r="L685">
        <v>0.0</v>
      </c>
      <c r="M685"/>
      <c r="N685"/>
      <c r="O685">
        <v>3.36</v>
      </c>
      <c r="P685">
        <v>0.0</v>
      </c>
      <c r="Q685">
        <v>22.0</v>
      </c>
      <c r="R685"/>
      <c r="S685"/>
      <c r="T685"/>
      <c r="U685"/>
      <c r="V685"/>
      <c r="W685">
        <v>18</v>
      </c>
    </row>
    <row r="686" spans="1:23">
      <c r="A686"/>
      <c r="B686" t="s">
        <v>119</v>
      </c>
      <c r="C686" t="s">
        <v>119</v>
      </c>
      <c r="D686" t="s">
        <v>33</v>
      </c>
      <c r="E686" t="s">
        <v>34</v>
      </c>
      <c r="F686" t="str">
        <f>"0017213"</f>
        <v>0017213</v>
      </c>
      <c r="G686">
        <v>1</v>
      </c>
      <c r="H686" t="str">
        <f>"00000001"</f>
        <v>00000001</v>
      </c>
      <c r="I686" t="s">
        <v>35</v>
      </c>
      <c r="J686"/>
      <c r="K686">
        <v>42.37</v>
      </c>
      <c r="L686">
        <v>0.0</v>
      </c>
      <c r="M686"/>
      <c r="N686"/>
      <c r="O686">
        <v>7.63</v>
      </c>
      <c r="P686">
        <v>0.0</v>
      </c>
      <c r="Q686">
        <v>50.0</v>
      </c>
      <c r="R686"/>
      <c r="S686"/>
      <c r="T686"/>
      <c r="U686"/>
      <c r="V686"/>
      <c r="W686">
        <v>18</v>
      </c>
    </row>
    <row r="687" spans="1:23">
      <c r="A687"/>
      <c r="B687" t="s">
        <v>119</v>
      </c>
      <c r="C687" t="s">
        <v>119</v>
      </c>
      <c r="D687" t="s">
        <v>33</v>
      </c>
      <c r="E687" t="s">
        <v>34</v>
      </c>
      <c r="F687" t="str">
        <f>"0017214"</f>
        <v>0017214</v>
      </c>
      <c r="G687">
        <v>1</v>
      </c>
      <c r="H687" t="str">
        <f>"00000001"</f>
        <v>00000001</v>
      </c>
      <c r="I687" t="s">
        <v>35</v>
      </c>
      <c r="J687"/>
      <c r="K687">
        <v>8.47</v>
      </c>
      <c r="L687">
        <v>0.0</v>
      </c>
      <c r="M687"/>
      <c r="N687"/>
      <c r="O687">
        <v>1.53</v>
      </c>
      <c r="P687">
        <v>0.0</v>
      </c>
      <c r="Q687">
        <v>10.0</v>
      </c>
      <c r="R687"/>
      <c r="S687"/>
      <c r="T687"/>
      <c r="U687"/>
      <c r="V687"/>
      <c r="W687">
        <v>18</v>
      </c>
    </row>
    <row r="688" spans="1:23">
      <c r="A688"/>
      <c r="B688" t="s">
        <v>119</v>
      </c>
      <c r="C688" t="s">
        <v>119</v>
      </c>
      <c r="D688" t="s">
        <v>33</v>
      </c>
      <c r="E688" t="s">
        <v>34</v>
      </c>
      <c r="F688" t="str">
        <f>"0017215"</f>
        <v>0017215</v>
      </c>
      <c r="G688">
        <v>1</v>
      </c>
      <c r="H688" t="str">
        <f>"00000001"</f>
        <v>00000001</v>
      </c>
      <c r="I688" t="s">
        <v>35</v>
      </c>
      <c r="J688"/>
      <c r="K688">
        <v>13.56</v>
      </c>
      <c r="L688">
        <v>0.0</v>
      </c>
      <c r="M688"/>
      <c r="N688"/>
      <c r="O688">
        <v>2.44</v>
      </c>
      <c r="P688">
        <v>0.0</v>
      </c>
      <c r="Q688">
        <v>16.0</v>
      </c>
      <c r="R688"/>
      <c r="S688"/>
      <c r="T688"/>
      <c r="U688"/>
      <c r="V688"/>
      <c r="W688">
        <v>18</v>
      </c>
    </row>
    <row r="689" spans="1:23">
      <c r="A689"/>
      <c r="B689" t="s">
        <v>119</v>
      </c>
      <c r="C689" t="s">
        <v>119</v>
      </c>
      <c r="D689" t="s">
        <v>33</v>
      </c>
      <c r="E689" t="s">
        <v>34</v>
      </c>
      <c r="F689" t="str">
        <f>"0017216"</f>
        <v>0017216</v>
      </c>
      <c r="G689">
        <v>1</v>
      </c>
      <c r="H689" t="str">
        <f>"00000001"</f>
        <v>00000001</v>
      </c>
      <c r="I689" t="s">
        <v>35</v>
      </c>
      <c r="J689"/>
      <c r="K689">
        <v>0.51</v>
      </c>
      <c r="L689">
        <v>0.0</v>
      </c>
      <c r="M689"/>
      <c r="N689"/>
      <c r="O689">
        <v>0.09</v>
      </c>
      <c r="P689">
        <v>0.0</v>
      </c>
      <c r="Q689">
        <v>0.6</v>
      </c>
      <c r="R689"/>
      <c r="S689"/>
      <c r="T689"/>
      <c r="U689"/>
      <c r="V689"/>
      <c r="W689">
        <v>18</v>
      </c>
    </row>
    <row r="690" spans="1:23">
      <c r="A690"/>
      <c r="B690" t="s">
        <v>119</v>
      </c>
      <c r="C690" t="s">
        <v>119</v>
      </c>
      <c r="D690" t="s">
        <v>33</v>
      </c>
      <c r="E690" t="s">
        <v>34</v>
      </c>
      <c r="F690" t="str">
        <f>"0017217"</f>
        <v>0017217</v>
      </c>
      <c r="G690">
        <v>1</v>
      </c>
      <c r="H690" t="str">
        <f>"00000001"</f>
        <v>00000001</v>
      </c>
      <c r="I690" t="s">
        <v>35</v>
      </c>
      <c r="J690"/>
      <c r="K690">
        <v>2.54</v>
      </c>
      <c r="L690">
        <v>0.0</v>
      </c>
      <c r="M690"/>
      <c r="N690"/>
      <c r="O690">
        <v>0.46</v>
      </c>
      <c r="P690">
        <v>0.0</v>
      </c>
      <c r="Q690">
        <v>3.0</v>
      </c>
      <c r="R690"/>
      <c r="S690"/>
      <c r="T690"/>
      <c r="U690"/>
      <c r="V690"/>
      <c r="W690">
        <v>18</v>
      </c>
    </row>
    <row r="691" spans="1:23">
      <c r="A691"/>
      <c r="B691" t="s">
        <v>119</v>
      </c>
      <c r="C691" t="s">
        <v>119</v>
      </c>
      <c r="D691" t="s">
        <v>33</v>
      </c>
      <c r="E691" t="s">
        <v>34</v>
      </c>
      <c r="F691" t="str">
        <f>"0017218"</f>
        <v>0017218</v>
      </c>
      <c r="G691">
        <v>1</v>
      </c>
      <c r="H691" t="str">
        <f>"00000001"</f>
        <v>00000001</v>
      </c>
      <c r="I691" t="s">
        <v>35</v>
      </c>
      <c r="J691"/>
      <c r="K691">
        <v>4.24</v>
      </c>
      <c r="L691">
        <v>0.0</v>
      </c>
      <c r="M691"/>
      <c r="N691"/>
      <c r="O691">
        <v>0.76</v>
      </c>
      <c r="P691">
        <v>0.0</v>
      </c>
      <c r="Q691">
        <v>5.0</v>
      </c>
      <c r="R691"/>
      <c r="S691"/>
      <c r="T691"/>
      <c r="U691"/>
      <c r="V691"/>
      <c r="W691">
        <v>18</v>
      </c>
    </row>
    <row r="692" spans="1:23">
      <c r="A692"/>
      <c r="B692" t="s">
        <v>119</v>
      </c>
      <c r="C692" t="s">
        <v>119</v>
      </c>
      <c r="D692" t="s">
        <v>33</v>
      </c>
      <c r="E692" t="s">
        <v>34</v>
      </c>
      <c r="F692" t="str">
        <f>"0017219"</f>
        <v>0017219</v>
      </c>
      <c r="G692">
        <v>1</v>
      </c>
      <c r="H692" t="str">
        <f>"00000001"</f>
        <v>00000001</v>
      </c>
      <c r="I692" t="s">
        <v>35</v>
      </c>
      <c r="J692"/>
      <c r="K692">
        <v>8.47</v>
      </c>
      <c r="L692">
        <v>0.0</v>
      </c>
      <c r="M692"/>
      <c r="N692"/>
      <c r="O692">
        <v>1.53</v>
      </c>
      <c r="P692">
        <v>0.0</v>
      </c>
      <c r="Q692">
        <v>10.0</v>
      </c>
      <c r="R692"/>
      <c r="S692"/>
      <c r="T692"/>
      <c r="U692"/>
      <c r="V692"/>
      <c r="W692">
        <v>18</v>
      </c>
    </row>
    <row r="693" spans="1:23">
      <c r="A693"/>
      <c r="B693" t="s">
        <v>119</v>
      </c>
      <c r="C693" t="s">
        <v>119</v>
      </c>
      <c r="D693" t="s">
        <v>33</v>
      </c>
      <c r="E693" t="s">
        <v>34</v>
      </c>
      <c r="F693" t="str">
        <f>"0017220"</f>
        <v>0017220</v>
      </c>
      <c r="G693">
        <v>1</v>
      </c>
      <c r="H693" t="str">
        <f>"00000001"</f>
        <v>00000001</v>
      </c>
      <c r="I693" t="s">
        <v>35</v>
      </c>
      <c r="J693"/>
      <c r="K693">
        <v>21.19</v>
      </c>
      <c r="L693">
        <v>0.0</v>
      </c>
      <c r="M693"/>
      <c r="N693"/>
      <c r="O693">
        <v>3.81</v>
      </c>
      <c r="P693">
        <v>0.0</v>
      </c>
      <c r="Q693">
        <v>25.0</v>
      </c>
      <c r="R693"/>
      <c r="S693"/>
      <c r="T693"/>
      <c r="U693"/>
      <c r="V693"/>
      <c r="W693">
        <v>18</v>
      </c>
    </row>
    <row r="694" spans="1:23">
      <c r="A694"/>
      <c r="B694" t="s">
        <v>119</v>
      </c>
      <c r="C694" t="s">
        <v>119</v>
      </c>
      <c r="D694" t="s">
        <v>36</v>
      </c>
      <c r="E694" t="s">
        <v>37</v>
      </c>
      <c r="F694" t="str">
        <f>"0001396"</f>
        <v>0001396</v>
      </c>
      <c r="G694">
        <v>6</v>
      </c>
      <c r="H694" t="str">
        <f>"20212387755"</f>
        <v>20212387755</v>
      </c>
      <c r="I694" t="s">
        <v>90</v>
      </c>
      <c r="J694"/>
      <c r="K694">
        <v>8.47</v>
      </c>
      <c r="L694">
        <v>0.0</v>
      </c>
      <c r="M694"/>
      <c r="N694"/>
      <c r="O694">
        <v>1.53</v>
      </c>
      <c r="P694">
        <v>0.0</v>
      </c>
      <c r="Q694">
        <v>10.0</v>
      </c>
      <c r="R694"/>
      <c r="S694"/>
      <c r="T694"/>
      <c r="U694"/>
      <c r="V694"/>
      <c r="W694">
        <v>18</v>
      </c>
    </row>
    <row r="695" spans="1:23">
      <c r="A695"/>
      <c r="B695" t="s">
        <v>119</v>
      </c>
      <c r="C695" t="s">
        <v>119</v>
      </c>
      <c r="D695" t="s">
        <v>36</v>
      </c>
      <c r="E695" t="s">
        <v>37</v>
      </c>
      <c r="F695" t="str">
        <f>"0001397"</f>
        <v>0001397</v>
      </c>
      <c r="G695">
        <v>6</v>
      </c>
      <c r="H695" t="str">
        <f>"20101298851"</f>
        <v>20101298851</v>
      </c>
      <c r="I695" t="s">
        <v>42</v>
      </c>
      <c r="J695"/>
      <c r="K695">
        <v>16.95</v>
      </c>
      <c r="L695">
        <v>0.0</v>
      </c>
      <c r="M695"/>
      <c r="N695"/>
      <c r="O695">
        <v>3.05</v>
      </c>
      <c r="P695">
        <v>0.0</v>
      </c>
      <c r="Q695">
        <v>20.0</v>
      </c>
      <c r="R695"/>
      <c r="S695"/>
      <c r="T695"/>
      <c r="U695"/>
      <c r="V695"/>
      <c r="W695">
        <v>18</v>
      </c>
    </row>
    <row r="696" spans="1:23">
      <c r="A696"/>
      <c r="B696" t="s">
        <v>119</v>
      </c>
      <c r="C696" t="s">
        <v>119</v>
      </c>
      <c r="D696" t="s">
        <v>33</v>
      </c>
      <c r="E696" t="s">
        <v>34</v>
      </c>
      <c r="F696" t="str">
        <f>"0017221"</f>
        <v>0017221</v>
      </c>
      <c r="G696">
        <v>1</v>
      </c>
      <c r="H696" t="str">
        <f>"00000001"</f>
        <v>00000001</v>
      </c>
      <c r="I696" t="s">
        <v>35</v>
      </c>
      <c r="J696"/>
      <c r="K696">
        <v>5.08</v>
      </c>
      <c r="L696">
        <v>0.0</v>
      </c>
      <c r="M696"/>
      <c r="N696"/>
      <c r="O696">
        <v>0.92</v>
      </c>
      <c r="P696">
        <v>0.0</v>
      </c>
      <c r="Q696">
        <v>6.0</v>
      </c>
      <c r="R696"/>
      <c r="S696"/>
      <c r="T696"/>
      <c r="U696"/>
      <c r="V696"/>
      <c r="W696">
        <v>18</v>
      </c>
    </row>
    <row r="697" spans="1:23">
      <c r="A697"/>
      <c r="B697" t="s">
        <v>119</v>
      </c>
      <c r="C697" t="s">
        <v>119</v>
      </c>
      <c r="D697" t="s">
        <v>33</v>
      </c>
      <c r="E697" t="s">
        <v>34</v>
      </c>
      <c r="F697" t="str">
        <f>"0017222"</f>
        <v>0017222</v>
      </c>
      <c r="G697">
        <v>1</v>
      </c>
      <c r="H697" t="str">
        <f>"00000001"</f>
        <v>00000001</v>
      </c>
      <c r="I697" t="s">
        <v>35</v>
      </c>
      <c r="J697"/>
      <c r="K697">
        <v>4.24</v>
      </c>
      <c r="L697">
        <v>0.0</v>
      </c>
      <c r="M697"/>
      <c r="N697"/>
      <c r="O697">
        <v>0.76</v>
      </c>
      <c r="P697">
        <v>0.0</v>
      </c>
      <c r="Q697">
        <v>5.0</v>
      </c>
      <c r="R697"/>
      <c r="S697"/>
      <c r="T697"/>
      <c r="U697"/>
      <c r="V697"/>
      <c r="W697">
        <v>18</v>
      </c>
    </row>
    <row r="698" spans="1:23">
      <c r="A698"/>
      <c r="B698" t="s">
        <v>119</v>
      </c>
      <c r="C698" t="s">
        <v>119</v>
      </c>
      <c r="D698" t="s">
        <v>33</v>
      </c>
      <c r="E698" t="s">
        <v>34</v>
      </c>
      <c r="F698" t="str">
        <f>"0017223"</f>
        <v>0017223</v>
      </c>
      <c r="G698">
        <v>1</v>
      </c>
      <c r="H698" t="str">
        <f>"00000001"</f>
        <v>00000001</v>
      </c>
      <c r="I698" t="s">
        <v>35</v>
      </c>
      <c r="J698"/>
      <c r="K698">
        <v>8.47</v>
      </c>
      <c r="L698">
        <v>0.0</v>
      </c>
      <c r="M698"/>
      <c r="N698"/>
      <c r="O698">
        <v>1.53</v>
      </c>
      <c r="P698">
        <v>0.0</v>
      </c>
      <c r="Q698">
        <v>10.0</v>
      </c>
      <c r="R698"/>
      <c r="S698"/>
      <c r="T698"/>
      <c r="U698"/>
      <c r="V698"/>
      <c r="W698">
        <v>18</v>
      </c>
    </row>
    <row r="699" spans="1:23">
      <c r="A699"/>
      <c r="B699" t="s">
        <v>119</v>
      </c>
      <c r="C699" t="s">
        <v>119</v>
      </c>
      <c r="D699" t="s">
        <v>33</v>
      </c>
      <c r="E699" t="s">
        <v>34</v>
      </c>
      <c r="F699" t="str">
        <f>"0017224"</f>
        <v>0017224</v>
      </c>
      <c r="G699">
        <v>1</v>
      </c>
      <c r="H699" t="str">
        <f>"00000001"</f>
        <v>00000001</v>
      </c>
      <c r="I699" t="s">
        <v>35</v>
      </c>
      <c r="J699"/>
      <c r="K699">
        <v>7.63</v>
      </c>
      <c r="L699">
        <v>0.0</v>
      </c>
      <c r="M699"/>
      <c r="N699"/>
      <c r="O699">
        <v>1.37</v>
      </c>
      <c r="P699">
        <v>0.0</v>
      </c>
      <c r="Q699">
        <v>9.0</v>
      </c>
      <c r="R699"/>
      <c r="S699"/>
      <c r="T699"/>
      <c r="U699"/>
      <c r="V699"/>
      <c r="W699">
        <v>18</v>
      </c>
    </row>
    <row r="700" spans="1:23">
      <c r="A700"/>
      <c r="B700" t="s">
        <v>119</v>
      </c>
      <c r="C700" t="s">
        <v>119</v>
      </c>
      <c r="D700" t="s">
        <v>33</v>
      </c>
      <c r="E700" t="s">
        <v>34</v>
      </c>
      <c r="F700" t="str">
        <f>"0017225"</f>
        <v>0017225</v>
      </c>
      <c r="G700">
        <v>1</v>
      </c>
      <c r="H700" t="str">
        <f>"00000001"</f>
        <v>00000001</v>
      </c>
      <c r="I700" t="s">
        <v>35</v>
      </c>
      <c r="J700"/>
      <c r="K700">
        <v>4.66</v>
      </c>
      <c r="L700">
        <v>0.0</v>
      </c>
      <c r="M700"/>
      <c r="N700"/>
      <c r="O700">
        <v>0.84</v>
      </c>
      <c r="P700">
        <v>0.0</v>
      </c>
      <c r="Q700">
        <v>5.5</v>
      </c>
      <c r="R700"/>
      <c r="S700"/>
      <c r="T700"/>
      <c r="U700"/>
      <c r="V700"/>
      <c r="W700">
        <v>18</v>
      </c>
    </row>
    <row r="701" spans="1:23">
      <c r="A701"/>
      <c r="B701" t="s">
        <v>119</v>
      </c>
      <c r="C701" t="s">
        <v>119</v>
      </c>
      <c r="D701" t="s">
        <v>33</v>
      </c>
      <c r="E701" t="s">
        <v>34</v>
      </c>
      <c r="F701" t="str">
        <f>"0017226"</f>
        <v>0017226</v>
      </c>
      <c r="G701">
        <v>1</v>
      </c>
      <c r="H701" t="str">
        <f>"00000001"</f>
        <v>00000001</v>
      </c>
      <c r="I701" t="s">
        <v>35</v>
      </c>
      <c r="J701"/>
      <c r="K701">
        <v>8.47</v>
      </c>
      <c r="L701">
        <v>0.0</v>
      </c>
      <c r="M701"/>
      <c r="N701"/>
      <c r="O701">
        <v>1.53</v>
      </c>
      <c r="P701">
        <v>0.0</v>
      </c>
      <c r="Q701">
        <v>10.0</v>
      </c>
      <c r="R701"/>
      <c r="S701"/>
      <c r="T701"/>
      <c r="U701"/>
      <c r="V701"/>
      <c r="W701">
        <v>18</v>
      </c>
    </row>
    <row r="702" spans="1:23">
      <c r="A702"/>
      <c r="B702" t="s">
        <v>119</v>
      </c>
      <c r="C702" t="s">
        <v>119</v>
      </c>
      <c r="D702" t="s">
        <v>33</v>
      </c>
      <c r="E702" t="s">
        <v>34</v>
      </c>
      <c r="F702" t="str">
        <f>"0017227"</f>
        <v>0017227</v>
      </c>
      <c r="G702">
        <v>1</v>
      </c>
      <c r="H702" t="str">
        <f>"00000001"</f>
        <v>00000001</v>
      </c>
      <c r="I702" t="s">
        <v>35</v>
      </c>
      <c r="J702"/>
      <c r="K702">
        <v>2.54</v>
      </c>
      <c r="L702">
        <v>0.0</v>
      </c>
      <c r="M702"/>
      <c r="N702"/>
      <c r="O702">
        <v>0.46</v>
      </c>
      <c r="P702">
        <v>0.0</v>
      </c>
      <c r="Q702">
        <v>3.0</v>
      </c>
      <c r="R702"/>
      <c r="S702"/>
      <c r="T702"/>
      <c r="U702"/>
      <c r="V702"/>
      <c r="W702">
        <v>18</v>
      </c>
    </row>
    <row r="703" spans="1:23">
      <c r="A703"/>
      <c r="B703" t="s">
        <v>119</v>
      </c>
      <c r="C703" t="s">
        <v>119</v>
      </c>
      <c r="D703" t="s">
        <v>33</v>
      </c>
      <c r="E703" t="s">
        <v>34</v>
      </c>
      <c r="F703" t="str">
        <f>"0017228"</f>
        <v>0017228</v>
      </c>
      <c r="G703">
        <v>1</v>
      </c>
      <c r="H703" t="str">
        <f>"00000001"</f>
        <v>00000001</v>
      </c>
      <c r="I703" t="s">
        <v>35</v>
      </c>
      <c r="J703"/>
      <c r="K703">
        <v>16.95</v>
      </c>
      <c r="L703">
        <v>0.0</v>
      </c>
      <c r="M703"/>
      <c r="N703"/>
      <c r="O703">
        <v>3.05</v>
      </c>
      <c r="P703">
        <v>0.0</v>
      </c>
      <c r="Q703">
        <v>20.0</v>
      </c>
      <c r="R703"/>
      <c r="S703"/>
      <c r="T703"/>
      <c r="U703"/>
      <c r="V703"/>
      <c r="W703">
        <v>18</v>
      </c>
    </row>
    <row r="704" spans="1:23">
      <c r="A704"/>
      <c r="B704" t="s">
        <v>119</v>
      </c>
      <c r="C704" t="s">
        <v>119</v>
      </c>
      <c r="D704" t="s">
        <v>33</v>
      </c>
      <c r="E704" t="s">
        <v>34</v>
      </c>
      <c r="F704" t="str">
        <f>"0017229"</f>
        <v>0017229</v>
      </c>
      <c r="G704">
        <v>1</v>
      </c>
      <c r="H704" t="str">
        <f>"00000001"</f>
        <v>00000001</v>
      </c>
      <c r="I704" t="s">
        <v>35</v>
      </c>
      <c r="J704"/>
      <c r="K704">
        <v>6.78</v>
      </c>
      <c r="L704">
        <v>0.0</v>
      </c>
      <c r="M704"/>
      <c r="N704"/>
      <c r="O704">
        <v>1.22</v>
      </c>
      <c r="P704">
        <v>0.0</v>
      </c>
      <c r="Q704">
        <v>8.0</v>
      </c>
      <c r="R704"/>
      <c r="S704"/>
      <c r="T704"/>
      <c r="U704"/>
      <c r="V704"/>
      <c r="W704">
        <v>18</v>
      </c>
    </row>
    <row r="705" spans="1:23">
      <c r="A705"/>
      <c r="B705" t="s">
        <v>119</v>
      </c>
      <c r="C705" t="s">
        <v>119</v>
      </c>
      <c r="D705" t="s">
        <v>33</v>
      </c>
      <c r="E705" t="s">
        <v>34</v>
      </c>
      <c r="F705" t="str">
        <f>"0017230"</f>
        <v>0017230</v>
      </c>
      <c r="G705">
        <v>1</v>
      </c>
      <c r="H705" t="str">
        <f>"00000001"</f>
        <v>00000001</v>
      </c>
      <c r="I705" t="s">
        <v>35</v>
      </c>
      <c r="J705"/>
      <c r="K705">
        <v>52.54</v>
      </c>
      <c r="L705">
        <v>0.0</v>
      </c>
      <c r="M705"/>
      <c r="N705"/>
      <c r="O705">
        <v>9.46</v>
      </c>
      <c r="P705">
        <v>0.0</v>
      </c>
      <c r="Q705">
        <v>62.0</v>
      </c>
      <c r="R705"/>
      <c r="S705"/>
      <c r="T705"/>
      <c r="U705"/>
      <c r="V705"/>
      <c r="W705">
        <v>18</v>
      </c>
    </row>
    <row r="706" spans="1:23">
      <c r="A706"/>
      <c r="B706" t="s">
        <v>119</v>
      </c>
      <c r="C706" t="s">
        <v>119</v>
      </c>
      <c r="D706" t="s">
        <v>33</v>
      </c>
      <c r="E706" t="s">
        <v>34</v>
      </c>
      <c r="F706" t="str">
        <f>"0017231"</f>
        <v>0017231</v>
      </c>
      <c r="G706">
        <v>1</v>
      </c>
      <c r="H706" t="str">
        <f>"00000001"</f>
        <v>00000001</v>
      </c>
      <c r="I706" t="s">
        <v>35</v>
      </c>
      <c r="J706"/>
      <c r="K706">
        <v>13.56</v>
      </c>
      <c r="L706">
        <v>0.0</v>
      </c>
      <c r="M706"/>
      <c r="N706"/>
      <c r="O706">
        <v>2.44</v>
      </c>
      <c r="P706">
        <v>0.0</v>
      </c>
      <c r="Q706">
        <v>16.0</v>
      </c>
      <c r="R706"/>
      <c r="S706"/>
      <c r="T706"/>
      <c r="U706"/>
      <c r="V706"/>
      <c r="W706">
        <v>18</v>
      </c>
    </row>
    <row r="707" spans="1:23">
      <c r="A707"/>
      <c r="B707" t="s">
        <v>119</v>
      </c>
      <c r="C707" t="s">
        <v>119</v>
      </c>
      <c r="D707" t="s">
        <v>33</v>
      </c>
      <c r="E707" t="s">
        <v>34</v>
      </c>
      <c r="F707" t="str">
        <f>"0017232"</f>
        <v>0017232</v>
      </c>
      <c r="G707">
        <v>1</v>
      </c>
      <c r="H707" t="str">
        <f>"00000001"</f>
        <v>00000001</v>
      </c>
      <c r="I707" t="s">
        <v>35</v>
      </c>
      <c r="J707"/>
      <c r="K707">
        <v>49.15</v>
      </c>
      <c r="L707">
        <v>0.0</v>
      </c>
      <c r="M707"/>
      <c r="N707"/>
      <c r="O707">
        <v>8.85</v>
      </c>
      <c r="P707">
        <v>0.0</v>
      </c>
      <c r="Q707">
        <v>58.0</v>
      </c>
      <c r="R707"/>
      <c r="S707"/>
      <c r="T707"/>
      <c r="U707"/>
      <c r="V707"/>
      <c r="W707">
        <v>18</v>
      </c>
    </row>
    <row r="708" spans="1:23">
      <c r="A708"/>
      <c r="B708" t="s">
        <v>119</v>
      </c>
      <c r="C708" t="s">
        <v>119</v>
      </c>
      <c r="D708" t="s">
        <v>33</v>
      </c>
      <c r="E708" t="s">
        <v>34</v>
      </c>
      <c r="F708" t="str">
        <f>"0017233"</f>
        <v>0017233</v>
      </c>
      <c r="G708">
        <v>1</v>
      </c>
      <c r="H708" t="str">
        <f>"00000001"</f>
        <v>00000001</v>
      </c>
      <c r="I708" t="s">
        <v>35</v>
      </c>
      <c r="J708"/>
      <c r="K708">
        <v>44.07</v>
      </c>
      <c r="L708">
        <v>0.0</v>
      </c>
      <c r="M708"/>
      <c r="N708"/>
      <c r="O708">
        <v>7.93</v>
      </c>
      <c r="P708">
        <v>0.0</v>
      </c>
      <c r="Q708">
        <v>52.0</v>
      </c>
      <c r="R708"/>
      <c r="S708"/>
      <c r="T708"/>
      <c r="U708"/>
      <c r="V708"/>
      <c r="W708">
        <v>18</v>
      </c>
    </row>
    <row r="709" spans="1:23">
      <c r="A709"/>
      <c r="B709" t="s">
        <v>119</v>
      </c>
      <c r="C709" t="s">
        <v>119</v>
      </c>
      <c r="D709" t="s">
        <v>33</v>
      </c>
      <c r="E709" t="s">
        <v>34</v>
      </c>
      <c r="F709" t="str">
        <f>"0017234"</f>
        <v>0017234</v>
      </c>
      <c r="G709">
        <v>1</v>
      </c>
      <c r="H709" t="str">
        <f>"00000001"</f>
        <v>00000001</v>
      </c>
      <c r="I709" t="s">
        <v>35</v>
      </c>
      <c r="J709"/>
      <c r="K709">
        <v>58.47</v>
      </c>
      <c r="L709">
        <v>0.0</v>
      </c>
      <c r="M709"/>
      <c r="N709"/>
      <c r="O709">
        <v>10.53</v>
      </c>
      <c r="P709">
        <v>0.0</v>
      </c>
      <c r="Q709">
        <v>69.0</v>
      </c>
      <c r="R709"/>
      <c r="S709"/>
      <c r="T709"/>
      <c r="U709"/>
      <c r="V709"/>
      <c r="W709">
        <v>18</v>
      </c>
    </row>
    <row r="710" spans="1:23">
      <c r="A710"/>
      <c r="B710" t="s">
        <v>119</v>
      </c>
      <c r="C710" t="s">
        <v>119</v>
      </c>
      <c r="D710" t="s">
        <v>33</v>
      </c>
      <c r="E710" t="s">
        <v>34</v>
      </c>
      <c r="F710" t="str">
        <f>"0017235"</f>
        <v>0017235</v>
      </c>
      <c r="G710">
        <v>1</v>
      </c>
      <c r="H710" t="str">
        <f>"00000001"</f>
        <v>00000001</v>
      </c>
      <c r="I710" t="s">
        <v>35</v>
      </c>
      <c r="J710"/>
      <c r="K710">
        <v>6.78</v>
      </c>
      <c r="L710">
        <v>0.0</v>
      </c>
      <c r="M710"/>
      <c r="N710"/>
      <c r="O710">
        <v>1.22</v>
      </c>
      <c r="P710">
        <v>0.0</v>
      </c>
      <c r="Q710">
        <v>8.0</v>
      </c>
      <c r="R710"/>
      <c r="S710"/>
      <c r="T710"/>
      <c r="U710"/>
      <c r="V710"/>
      <c r="W710">
        <v>18</v>
      </c>
    </row>
    <row r="711" spans="1:23">
      <c r="A711"/>
      <c r="B711" t="s">
        <v>123</v>
      </c>
      <c r="C711" t="s">
        <v>123</v>
      </c>
      <c r="D711" t="s">
        <v>33</v>
      </c>
      <c r="E711" t="s">
        <v>34</v>
      </c>
      <c r="F711" t="str">
        <f>"0017236"</f>
        <v>0017236</v>
      </c>
      <c r="G711">
        <v>1</v>
      </c>
      <c r="H711" t="str">
        <f>"00000001"</f>
        <v>00000001</v>
      </c>
      <c r="I711" t="s">
        <v>35</v>
      </c>
      <c r="J711"/>
      <c r="K711">
        <v>10.59</v>
      </c>
      <c r="L711">
        <v>0.0</v>
      </c>
      <c r="M711"/>
      <c r="N711"/>
      <c r="O711">
        <v>1.91</v>
      </c>
      <c r="P711">
        <v>0.0</v>
      </c>
      <c r="Q711">
        <v>12.5</v>
      </c>
      <c r="R711"/>
      <c r="S711"/>
      <c r="T711"/>
      <c r="U711"/>
      <c r="V711"/>
      <c r="W711">
        <v>18</v>
      </c>
    </row>
    <row r="712" spans="1:23">
      <c r="A712"/>
      <c r="B712" t="s">
        <v>123</v>
      </c>
      <c r="C712" t="s">
        <v>123</v>
      </c>
      <c r="D712" t="s">
        <v>33</v>
      </c>
      <c r="E712" t="s">
        <v>34</v>
      </c>
      <c r="F712" t="str">
        <f>"0017237"</f>
        <v>0017237</v>
      </c>
      <c r="G712">
        <v>1</v>
      </c>
      <c r="H712" t="str">
        <f>"00000001"</f>
        <v>00000001</v>
      </c>
      <c r="I712" t="s">
        <v>35</v>
      </c>
      <c r="J712"/>
      <c r="K712">
        <v>7.63</v>
      </c>
      <c r="L712">
        <v>0.0</v>
      </c>
      <c r="M712"/>
      <c r="N712"/>
      <c r="O712">
        <v>1.37</v>
      </c>
      <c r="P712">
        <v>0.0</v>
      </c>
      <c r="Q712">
        <v>9.0</v>
      </c>
      <c r="R712"/>
      <c r="S712"/>
      <c r="T712"/>
      <c r="U712"/>
      <c r="V712"/>
      <c r="W712">
        <v>18</v>
      </c>
    </row>
    <row r="713" spans="1:23">
      <c r="A713"/>
      <c r="B713" t="s">
        <v>123</v>
      </c>
      <c r="C713" t="s">
        <v>123</v>
      </c>
      <c r="D713" t="s">
        <v>33</v>
      </c>
      <c r="E713" t="s">
        <v>34</v>
      </c>
      <c r="F713" t="str">
        <f>"0017238"</f>
        <v>0017238</v>
      </c>
      <c r="G713">
        <v>1</v>
      </c>
      <c r="H713" t="str">
        <f>"00000001"</f>
        <v>00000001</v>
      </c>
      <c r="I713" t="s">
        <v>35</v>
      </c>
      <c r="J713"/>
      <c r="K713">
        <v>33.9</v>
      </c>
      <c r="L713">
        <v>0.0</v>
      </c>
      <c r="M713"/>
      <c r="N713"/>
      <c r="O713">
        <v>6.1</v>
      </c>
      <c r="P713">
        <v>0.0</v>
      </c>
      <c r="Q713">
        <v>40.0</v>
      </c>
      <c r="R713"/>
      <c r="S713"/>
      <c r="T713"/>
      <c r="U713"/>
      <c r="V713"/>
      <c r="W713">
        <v>18</v>
      </c>
    </row>
    <row r="714" spans="1:23">
      <c r="A714"/>
      <c r="B714" t="s">
        <v>123</v>
      </c>
      <c r="C714" t="s">
        <v>123</v>
      </c>
      <c r="D714" t="s">
        <v>33</v>
      </c>
      <c r="E714" t="s">
        <v>34</v>
      </c>
      <c r="F714" t="str">
        <f>"0017239"</f>
        <v>0017239</v>
      </c>
      <c r="G714">
        <v>1</v>
      </c>
      <c r="H714" t="str">
        <f>"00000001"</f>
        <v>00000001</v>
      </c>
      <c r="I714" t="s">
        <v>35</v>
      </c>
      <c r="J714"/>
      <c r="K714">
        <v>57.63</v>
      </c>
      <c r="L714">
        <v>0.0</v>
      </c>
      <c r="M714"/>
      <c r="N714"/>
      <c r="O714">
        <v>10.37</v>
      </c>
      <c r="P714">
        <v>0.0</v>
      </c>
      <c r="Q714">
        <v>68.0</v>
      </c>
      <c r="R714"/>
      <c r="S714"/>
      <c r="T714"/>
      <c r="U714"/>
      <c r="V714"/>
      <c r="W714">
        <v>18</v>
      </c>
    </row>
    <row r="715" spans="1:23">
      <c r="A715"/>
      <c r="B715" t="s">
        <v>123</v>
      </c>
      <c r="C715" t="s">
        <v>123</v>
      </c>
      <c r="D715" t="s">
        <v>33</v>
      </c>
      <c r="E715" t="s">
        <v>34</v>
      </c>
      <c r="F715" t="str">
        <f>"0017240"</f>
        <v>0017240</v>
      </c>
      <c r="G715">
        <v>1</v>
      </c>
      <c r="H715" t="str">
        <f>"00000001"</f>
        <v>00000001</v>
      </c>
      <c r="I715" t="s">
        <v>35</v>
      </c>
      <c r="J715"/>
      <c r="K715">
        <v>5.93</v>
      </c>
      <c r="L715">
        <v>0.0</v>
      </c>
      <c r="M715"/>
      <c r="N715"/>
      <c r="O715">
        <v>1.07</v>
      </c>
      <c r="P715">
        <v>0.0</v>
      </c>
      <c r="Q715">
        <v>7.0</v>
      </c>
      <c r="R715"/>
      <c r="S715"/>
      <c r="T715"/>
      <c r="U715"/>
      <c r="V715"/>
      <c r="W715">
        <v>18</v>
      </c>
    </row>
    <row r="716" spans="1:23">
      <c r="A716"/>
      <c r="B716" t="s">
        <v>123</v>
      </c>
      <c r="C716" t="s">
        <v>123</v>
      </c>
      <c r="D716" t="s">
        <v>33</v>
      </c>
      <c r="E716" t="s">
        <v>34</v>
      </c>
      <c r="F716" t="str">
        <f>"0017241"</f>
        <v>0017241</v>
      </c>
      <c r="G716">
        <v>1</v>
      </c>
      <c r="H716" t="str">
        <f>"00000001"</f>
        <v>00000001</v>
      </c>
      <c r="I716" t="s">
        <v>35</v>
      </c>
      <c r="J716"/>
      <c r="K716">
        <v>119.49</v>
      </c>
      <c r="L716">
        <v>0.0</v>
      </c>
      <c r="M716"/>
      <c r="N716"/>
      <c r="O716">
        <v>21.51</v>
      </c>
      <c r="P716">
        <v>0.0</v>
      </c>
      <c r="Q716">
        <v>141.0</v>
      </c>
      <c r="R716"/>
      <c r="S716"/>
      <c r="T716"/>
      <c r="U716"/>
      <c r="V716"/>
      <c r="W716">
        <v>18</v>
      </c>
    </row>
    <row r="717" spans="1:23">
      <c r="A717"/>
      <c r="B717" t="s">
        <v>123</v>
      </c>
      <c r="C717" t="s">
        <v>123</v>
      </c>
      <c r="D717" t="s">
        <v>33</v>
      </c>
      <c r="E717" t="s">
        <v>34</v>
      </c>
      <c r="F717" t="str">
        <f>"0017242"</f>
        <v>0017242</v>
      </c>
      <c r="G717">
        <v>1</v>
      </c>
      <c r="H717" t="str">
        <f>"00000001"</f>
        <v>00000001</v>
      </c>
      <c r="I717" t="s">
        <v>35</v>
      </c>
      <c r="J717"/>
      <c r="K717">
        <v>40.68</v>
      </c>
      <c r="L717">
        <v>0.0</v>
      </c>
      <c r="M717"/>
      <c r="N717"/>
      <c r="O717">
        <v>7.32</v>
      </c>
      <c r="P717">
        <v>0.0</v>
      </c>
      <c r="Q717">
        <v>48.0</v>
      </c>
      <c r="R717"/>
      <c r="S717"/>
      <c r="T717"/>
      <c r="U717"/>
      <c r="V717"/>
      <c r="W717">
        <v>18</v>
      </c>
    </row>
    <row r="718" spans="1:23">
      <c r="A718"/>
      <c r="B718" t="s">
        <v>123</v>
      </c>
      <c r="C718" t="s">
        <v>123</v>
      </c>
      <c r="D718" t="s">
        <v>33</v>
      </c>
      <c r="E718" t="s">
        <v>34</v>
      </c>
      <c r="F718" t="str">
        <f>"0017243"</f>
        <v>0017243</v>
      </c>
      <c r="G718">
        <v>6</v>
      </c>
      <c r="H718" t="str">
        <f>"20610600787"</f>
        <v>20610600787</v>
      </c>
      <c r="I718" t="s">
        <v>55</v>
      </c>
      <c r="J718"/>
      <c r="K718">
        <v>42.37</v>
      </c>
      <c r="L718">
        <v>0.0</v>
      </c>
      <c r="M718"/>
      <c r="N718"/>
      <c r="O718">
        <v>7.63</v>
      </c>
      <c r="P718">
        <v>0.0</v>
      </c>
      <c r="Q718">
        <v>50.0</v>
      </c>
      <c r="R718"/>
      <c r="S718"/>
      <c r="T718"/>
      <c r="U718"/>
      <c r="V718"/>
      <c r="W718">
        <v>18</v>
      </c>
    </row>
    <row r="719" spans="1:23">
      <c r="A719"/>
      <c r="B719" t="s">
        <v>123</v>
      </c>
      <c r="C719" t="s">
        <v>123</v>
      </c>
      <c r="D719" t="s">
        <v>33</v>
      </c>
      <c r="E719" t="s">
        <v>34</v>
      </c>
      <c r="F719" t="str">
        <f>"0017244"</f>
        <v>0017244</v>
      </c>
      <c r="G719">
        <v>1</v>
      </c>
      <c r="H719" t="str">
        <f>"00000001"</f>
        <v>00000001</v>
      </c>
      <c r="I719" t="s">
        <v>35</v>
      </c>
      <c r="J719"/>
      <c r="K719">
        <v>10.17</v>
      </c>
      <c r="L719">
        <v>0.0</v>
      </c>
      <c r="M719"/>
      <c r="N719"/>
      <c r="O719">
        <v>1.83</v>
      </c>
      <c r="P719">
        <v>0.0</v>
      </c>
      <c r="Q719">
        <v>12.0</v>
      </c>
      <c r="R719"/>
      <c r="S719"/>
      <c r="T719"/>
      <c r="U719"/>
      <c r="V719"/>
      <c r="W719">
        <v>18</v>
      </c>
    </row>
    <row r="720" spans="1:23">
      <c r="A720"/>
      <c r="B720" t="s">
        <v>124</v>
      </c>
      <c r="C720" t="s">
        <v>124</v>
      </c>
      <c r="D720" t="s">
        <v>33</v>
      </c>
      <c r="E720" t="s">
        <v>34</v>
      </c>
      <c r="F720" t="str">
        <f>"0017245"</f>
        <v>0017245</v>
      </c>
      <c r="G720">
        <v>1</v>
      </c>
      <c r="H720" t="str">
        <f>"00000001"</f>
        <v>00000001</v>
      </c>
      <c r="I720" t="s">
        <v>35</v>
      </c>
      <c r="J720"/>
      <c r="K720">
        <v>6.78</v>
      </c>
      <c r="L720">
        <v>0.0</v>
      </c>
      <c r="M720"/>
      <c r="N720"/>
      <c r="O720">
        <v>1.22</v>
      </c>
      <c r="P720">
        <v>0.0</v>
      </c>
      <c r="Q720">
        <v>8.0</v>
      </c>
      <c r="R720"/>
      <c r="S720"/>
      <c r="T720"/>
      <c r="U720"/>
      <c r="V720"/>
      <c r="W720">
        <v>18</v>
      </c>
    </row>
    <row r="721" spans="1:23">
      <c r="A721"/>
      <c r="B721" t="s">
        <v>124</v>
      </c>
      <c r="C721" t="s">
        <v>124</v>
      </c>
      <c r="D721" t="s">
        <v>33</v>
      </c>
      <c r="E721" t="s">
        <v>34</v>
      </c>
      <c r="F721" t="str">
        <f>"0017246"</f>
        <v>0017246</v>
      </c>
      <c r="G721">
        <v>1</v>
      </c>
      <c r="H721" t="str">
        <f>"00000001"</f>
        <v>00000001</v>
      </c>
      <c r="I721" t="s">
        <v>35</v>
      </c>
      <c r="J721"/>
      <c r="K721">
        <v>28.81</v>
      </c>
      <c r="L721">
        <v>0.0</v>
      </c>
      <c r="M721"/>
      <c r="N721"/>
      <c r="O721">
        <v>5.19</v>
      </c>
      <c r="P721">
        <v>0.0</v>
      </c>
      <c r="Q721">
        <v>34.0</v>
      </c>
      <c r="R721"/>
      <c r="S721"/>
      <c r="T721"/>
      <c r="U721"/>
      <c r="V721"/>
      <c r="W721">
        <v>18</v>
      </c>
    </row>
    <row r="722" spans="1:23">
      <c r="A722"/>
      <c r="B722" t="s">
        <v>124</v>
      </c>
      <c r="C722" t="s">
        <v>124</v>
      </c>
      <c r="D722" t="s">
        <v>33</v>
      </c>
      <c r="E722" t="s">
        <v>34</v>
      </c>
      <c r="F722" t="str">
        <f>"0017247"</f>
        <v>0017247</v>
      </c>
      <c r="G722">
        <v>1</v>
      </c>
      <c r="H722" t="str">
        <f>"00000001"</f>
        <v>00000001</v>
      </c>
      <c r="I722" t="s">
        <v>35</v>
      </c>
      <c r="J722"/>
      <c r="K722">
        <v>11.02</v>
      </c>
      <c r="L722">
        <v>0.0</v>
      </c>
      <c r="M722"/>
      <c r="N722"/>
      <c r="O722">
        <v>1.98</v>
      </c>
      <c r="P722">
        <v>0.0</v>
      </c>
      <c r="Q722">
        <v>13.0</v>
      </c>
      <c r="R722"/>
      <c r="S722"/>
      <c r="T722"/>
      <c r="U722"/>
      <c r="V722"/>
      <c r="W722">
        <v>18</v>
      </c>
    </row>
    <row r="723" spans="1:23">
      <c r="A723"/>
      <c r="B723" t="s">
        <v>124</v>
      </c>
      <c r="C723" t="s">
        <v>124</v>
      </c>
      <c r="D723" t="s">
        <v>33</v>
      </c>
      <c r="E723" t="s">
        <v>34</v>
      </c>
      <c r="F723" t="str">
        <f>"0017248"</f>
        <v>0017248</v>
      </c>
      <c r="G723">
        <v>1</v>
      </c>
      <c r="H723" t="str">
        <f>"00000001"</f>
        <v>00000001</v>
      </c>
      <c r="I723" t="s">
        <v>35</v>
      </c>
      <c r="J723"/>
      <c r="K723">
        <v>54.24</v>
      </c>
      <c r="L723">
        <v>0.0</v>
      </c>
      <c r="M723"/>
      <c r="N723"/>
      <c r="O723">
        <v>9.76</v>
      </c>
      <c r="P723">
        <v>0.0</v>
      </c>
      <c r="Q723">
        <v>64.0</v>
      </c>
      <c r="R723"/>
      <c r="S723"/>
      <c r="T723"/>
      <c r="U723"/>
      <c r="V723"/>
      <c r="W723">
        <v>18</v>
      </c>
    </row>
    <row r="724" spans="1:23">
      <c r="A724"/>
      <c r="B724" t="s">
        <v>124</v>
      </c>
      <c r="C724" t="s">
        <v>124</v>
      </c>
      <c r="D724" t="s">
        <v>33</v>
      </c>
      <c r="E724" t="s">
        <v>34</v>
      </c>
      <c r="F724" t="str">
        <f>"0017249"</f>
        <v>0017249</v>
      </c>
      <c r="G724">
        <v>1</v>
      </c>
      <c r="H724" t="str">
        <f>"00000001"</f>
        <v>00000001</v>
      </c>
      <c r="I724" t="s">
        <v>35</v>
      </c>
      <c r="J724"/>
      <c r="K724">
        <v>35.59</v>
      </c>
      <c r="L724">
        <v>0.0</v>
      </c>
      <c r="M724"/>
      <c r="N724"/>
      <c r="O724">
        <v>6.41</v>
      </c>
      <c r="P724">
        <v>0.0</v>
      </c>
      <c r="Q724">
        <v>42.0</v>
      </c>
      <c r="R724"/>
      <c r="S724"/>
      <c r="T724"/>
      <c r="U724"/>
      <c r="V724"/>
      <c r="W724">
        <v>18</v>
      </c>
    </row>
    <row r="725" spans="1:23">
      <c r="A725"/>
      <c r="B725" t="s">
        <v>124</v>
      </c>
      <c r="C725" t="s">
        <v>124</v>
      </c>
      <c r="D725" t="s">
        <v>33</v>
      </c>
      <c r="E725" t="s">
        <v>34</v>
      </c>
      <c r="F725" t="str">
        <f>"0017250"</f>
        <v>0017250</v>
      </c>
      <c r="G725">
        <v>1</v>
      </c>
      <c r="H725" t="str">
        <f>"00000001"</f>
        <v>00000001</v>
      </c>
      <c r="I725" t="s">
        <v>35</v>
      </c>
      <c r="J725"/>
      <c r="K725">
        <v>4.24</v>
      </c>
      <c r="L725">
        <v>0.0</v>
      </c>
      <c r="M725"/>
      <c r="N725"/>
      <c r="O725">
        <v>0.76</v>
      </c>
      <c r="P725">
        <v>0.0</v>
      </c>
      <c r="Q725">
        <v>5.0</v>
      </c>
      <c r="R725"/>
      <c r="S725"/>
      <c r="T725"/>
      <c r="U725"/>
      <c r="V725"/>
      <c r="W725">
        <v>18</v>
      </c>
    </row>
    <row r="726" spans="1:23">
      <c r="A726"/>
      <c r="B726" t="s">
        <v>124</v>
      </c>
      <c r="C726" t="s">
        <v>124</v>
      </c>
      <c r="D726" t="s">
        <v>33</v>
      </c>
      <c r="E726" t="s">
        <v>34</v>
      </c>
      <c r="F726" t="str">
        <f>"0017251"</f>
        <v>0017251</v>
      </c>
      <c r="G726">
        <v>1</v>
      </c>
      <c r="H726" t="str">
        <f>"00000001"</f>
        <v>00000001</v>
      </c>
      <c r="I726" t="s">
        <v>35</v>
      </c>
      <c r="J726"/>
      <c r="K726">
        <v>4.24</v>
      </c>
      <c r="L726">
        <v>0.0</v>
      </c>
      <c r="M726"/>
      <c r="N726"/>
      <c r="O726">
        <v>0.76</v>
      </c>
      <c r="P726">
        <v>0.0</v>
      </c>
      <c r="Q726">
        <v>5.0</v>
      </c>
      <c r="R726"/>
      <c r="S726"/>
      <c r="T726"/>
      <c r="U726"/>
      <c r="V726"/>
      <c r="W726">
        <v>18</v>
      </c>
    </row>
    <row r="727" spans="1:23">
      <c r="A727"/>
      <c r="B727" t="s">
        <v>124</v>
      </c>
      <c r="C727" t="s">
        <v>124</v>
      </c>
      <c r="D727" t="s">
        <v>33</v>
      </c>
      <c r="E727" t="s">
        <v>34</v>
      </c>
      <c r="F727" t="str">
        <f>"0017252"</f>
        <v>0017252</v>
      </c>
      <c r="G727">
        <v>1</v>
      </c>
      <c r="H727" t="str">
        <f>"48294520"</f>
        <v>48294520</v>
      </c>
      <c r="I727" t="s">
        <v>125</v>
      </c>
      <c r="J727"/>
      <c r="K727">
        <v>42.37</v>
      </c>
      <c r="L727">
        <v>0.0</v>
      </c>
      <c r="M727"/>
      <c r="N727"/>
      <c r="O727">
        <v>7.63</v>
      </c>
      <c r="P727">
        <v>0.0</v>
      </c>
      <c r="Q727">
        <v>50.0</v>
      </c>
      <c r="R727"/>
      <c r="S727"/>
      <c r="T727"/>
      <c r="U727"/>
      <c r="V727"/>
      <c r="W727">
        <v>18</v>
      </c>
    </row>
    <row r="728" spans="1:23">
      <c r="A728"/>
      <c r="B728" t="s">
        <v>124</v>
      </c>
      <c r="C728" t="s">
        <v>124</v>
      </c>
      <c r="D728" t="s">
        <v>33</v>
      </c>
      <c r="E728" t="s">
        <v>34</v>
      </c>
      <c r="F728" t="str">
        <f>"0017253"</f>
        <v>0017253</v>
      </c>
      <c r="G728">
        <v>1</v>
      </c>
      <c r="H728" t="str">
        <f>"48294520"</f>
        <v>48294520</v>
      </c>
      <c r="I728" t="s">
        <v>125</v>
      </c>
      <c r="J728"/>
      <c r="K728">
        <v>3.39</v>
      </c>
      <c r="L728">
        <v>0.0</v>
      </c>
      <c r="M728"/>
      <c r="N728"/>
      <c r="O728">
        <v>0.61</v>
      </c>
      <c r="P728">
        <v>0.0</v>
      </c>
      <c r="Q728">
        <v>4.0</v>
      </c>
      <c r="R728"/>
      <c r="S728"/>
      <c r="T728"/>
      <c r="U728"/>
      <c r="V728"/>
      <c r="W728">
        <v>18</v>
      </c>
    </row>
    <row r="729" spans="1:23">
      <c r="A729"/>
      <c r="B729" t="s">
        <v>124</v>
      </c>
      <c r="C729" t="s">
        <v>124</v>
      </c>
      <c r="D729" t="s">
        <v>33</v>
      </c>
      <c r="E729" t="s">
        <v>34</v>
      </c>
      <c r="F729" t="str">
        <f>"0017254"</f>
        <v>0017254</v>
      </c>
      <c r="G729">
        <v>1</v>
      </c>
      <c r="H729" t="str">
        <f>"00000001"</f>
        <v>00000001</v>
      </c>
      <c r="I729" t="s">
        <v>35</v>
      </c>
      <c r="J729"/>
      <c r="K729">
        <v>50.0</v>
      </c>
      <c r="L729">
        <v>0.0</v>
      </c>
      <c r="M729"/>
      <c r="N729"/>
      <c r="O729">
        <v>9.0</v>
      </c>
      <c r="P729">
        <v>0.0</v>
      </c>
      <c r="Q729">
        <v>59.0</v>
      </c>
      <c r="R729"/>
      <c r="S729"/>
      <c r="T729"/>
      <c r="U729"/>
      <c r="V729"/>
      <c r="W729">
        <v>18</v>
      </c>
    </row>
    <row r="730" spans="1:23">
      <c r="A730"/>
      <c r="B730" t="s">
        <v>124</v>
      </c>
      <c r="C730" t="s">
        <v>124</v>
      </c>
      <c r="D730" t="s">
        <v>33</v>
      </c>
      <c r="E730" t="s">
        <v>34</v>
      </c>
      <c r="F730" t="str">
        <f>"0017255"</f>
        <v>0017255</v>
      </c>
      <c r="G730">
        <v>1</v>
      </c>
      <c r="H730" t="str">
        <f>"00000001"</f>
        <v>00000001</v>
      </c>
      <c r="I730" t="s">
        <v>35</v>
      </c>
      <c r="J730"/>
      <c r="K730">
        <v>42.37</v>
      </c>
      <c r="L730">
        <v>0.0</v>
      </c>
      <c r="M730"/>
      <c r="N730"/>
      <c r="O730">
        <v>7.63</v>
      </c>
      <c r="P730">
        <v>0.0</v>
      </c>
      <c r="Q730">
        <v>50.0</v>
      </c>
      <c r="R730"/>
      <c r="S730"/>
      <c r="T730"/>
      <c r="U730"/>
      <c r="V730"/>
      <c r="W730">
        <v>18</v>
      </c>
    </row>
    <row r="731" spans="1:23">
      <c r="A731"/>
      <c r="B731" t="s">
        <v>124</v>
      </c>
      <c r="C731" t="s">
        <v>124</v>
      </c>
      <c r="D731" t="s">
        <v>33</v>
      </c>
      <c r="E731" t="s">
        <v>34</v>
      </c>
      <c r="F731" t="str">
        <f>"0017256"</f>
        <v>0017256</v>
      </c>
      <c r="G731">
        <v>1</v>
      </c>
      <c r="H731" t="str">
        <f>"00000001"</f>
        <v>00000001</v>
      </c>
      <c r="I731" t="s">
        <v>35</v>
      </c>
      <c r="J731"/>
      <c r="K731">
        <v>50.0</v>
      </c>
      <c r="L731">
        <v>0.0</v>
      </c>
      <c r="M731"/>
      <c r="N731"/>
      <c r="O731">
        <v>9.0</v>
      </c>
      <c r="P731">
        <v>0.0</v>
      </c>
      <c r="Q731">
        <v>59.0</v>
      </c>
      <c r="R731"/>
      <c r="S731"/>
      <c r="T731"/>
      <c r="U731"/>
      <c r="V731"/>
      <c r="W731">
        <v>18</v>
      </c>
    </row>
    <row r="732" spans="1:23">
      <c r="A732"/>
      <c r="B732" t="s">
        <v>124</v>
      </c>
      <c r="C732" t="s">
        <v>124</v>
      </c>
      <c r="D732" t="s">
        <v>33</v>
      </c>
      <c r="E732" t="s">
        <v>34</v>
      </c>
      <c r="F732" t="str">
        <f>"0017257"</f>
        <v>0017257</v>
      </c>
      <c r="G732">
        <v>1</v>
      </c>
      <c r="H732" t="str">
        <f>"00000001"</f>
        <v>00000001</v>
      </c>
      <c r="I732" t="s">
        <v>35</v>
      </c>
      <c r="J732"/>
      <c r="K732">
        <v>56.78</v>
      </c>
      <c r="L732">
        <v>0.0</v>
      </c>
      <c r="M732"/>
      <c r="N732"/>
      <c r="O732">
        <v>10.22</v>
      </c>
      <c r="P732">
        <v>0.0</v>
      </c>
      <c r="Q732">
        <v>67.0</v>
      </c>
      <c r="R732"/>
      <c r="S732"/>
      <c r="T732"/>
      <c r="U732"/>
      <c r="V732"/>
      <c r="W732">
        <v>18</v>
      </c>
    </row>
    <row r="733" spans="1:23">
      <c r="A733"/>
      <c r="B733" t="s">
        <v>124</v>
      </c>
      <c r="C733" t="s">
        <v>124</v>
      </c>
      <c r="D733" t="s">
        <v>33</v>
      </c>
      <c r="E733" t="s">
        <v>34</v>
      </c>
      <c r="F733" t="str">
        <f>"0017258"</f>
        <v>0017258</v>
      </c>
      <c r="G733">
        <v>1</v>
      </c>
      <c r="H733" t="str">
        <f>"00000001"</f>
        <v>00000001</v>
      </c>
      <c r="I733" t="s">
        <v>35</v>
      </c>
      <c r="J733"/>
      <c r="K733">
        <v>8.47</v>
      </c>
      <c r="L733">
        <v>0.0</v>
      </c>
      <c r="M733"/>
      <c r="N733"/>
      <c r="O733">
        <v>1.53</v>
      </c>
      <c r="P733">
        <v>0.0</v>
      </c>
      <c r="Q733">
        <v>10.0</v>
      </c>
      <c r="R733"/>
      <c r="S733"/>
      <c r="T733"/>
      <c r="U733"/>
      <c r="V733"/>
      <c r="W733">
        <v>18</v>
      </c>
    </row>
    <row r="734" spans="1:23">
      <c r="A734"/>
      <c r="B734" t="s">
        <v>124</v>
      </c>
      <c r="C734" t="s">
        <v>124</v>
      </c>
      <c r="D734" t="s">
        <v>33</v>
      </c>
      <c r="E734" t="s">
        <v>34</v>
      </c>
      <c r="F734" t="str">
        <f>"0017259"</f>
        <v>0017259</v>
      </c>
      <c r="G734">
        <v>1</v>
      </c>
      <c r="H734" t="str">
        <f>"00000001"</f>
        <v>00000001</v>
      </c>
      <c r="I734" t="s">
        <v>35</v>
      </c>
      <c r="J734"/>
      <c r="K734">
        <v>1.69</v>
      </c>
      <c r="L734">
        <v>0.0</v>
      </c>
      <c r="M734"/>
      <c r="N734"/>
      <c r="O734">
        <v>0.31</v>
      </c>
      <c r="P734">
        <v>0.0</v>
      </c>
      <c r="Q734">
        <v>2.0</v>
      </c>
      <c r="R734"/>
      <c r="S734"/>
      <c r="T734"/>
      <c r="U734"/>
      <c r="V734"/>
      <c r="W734">
        <v>18</v>
      </c>
    </row>
    <row r="735" spans="1:23">
      <c r="A735"/>
      <c r="B735" t="s">
        <v>126</v>
      </c>
      <c r="C735" t="s">
        <v>126</v>
      </c>
      <c r="D735" t="s">
        <v>33</v>
      </c>
      <c r="E735" t="s">
        <v>34</v>
      </c>
      <c r="F735" t="str">
        <f>"0017260"</f>
        <v>0017260</v>
      </c>
      <c r="G735">
        <v>1</v>
      </c>
      <c r="H735" t="str">
        <f>"00000001"</f>
        <v>00000001</v>
      </c>
      <c r="I735" t="s">
        <v>35</v>
      </c>
      <c r="J735"/>
      <c r="K735">
        <v>12.71</v>
      </c>
      <c r="L735">
        <v>0.0</v>
      </c>
      <c r="M735"/>
      <c r="N735"/>
      <c r="O735">
        <v>2.29</v>
      </c>
      <c r="P735">
        <v>0.0</v>
      </c>
      <c r="Q735">
        <v>15.0</v>
      </c>
      <c r="R735"/>
      <c r="S735"/>
      <c r="T735"/>
      <c r="U735"/>
      <c r="V735"/>
      <c r="W735">
        <v>18</v>
      </c>
    </row>
    <row r="736" spans="1:23">
      <c r="A736"/>
      <c r="B736" t="s">
        <v>126</v>
      </c>
      <c r="C736" t="s">
        <v>126</v>
      </c>
      <c r="D736" t="s">
        <v>33</v>
      </c>
      <c r="E736" t="s">
        <v>34</v>
      </c>
      <c r="F736" t="str">
        <f>"0017261"</f>
        <v>0017261</v>
      </c>
      <c r="G736">
        <v>1</v>
      </c>
      <c r="H736" t="str">
        <f>"00000001"</f>
        <v>00000001</v>
      </c>
      <c r="I736" t="s">
        <v>35</v>
      </c>
      <c r="J736"/>
      <c r="K736">
        <v>18.22</v>
      </c>
      <c r="L736">
        <v>0.0</v>
      </c>
      <c r="M736"/>
      <c r="N736"/>
      <c r="O736">
        <v>3.28</v>
      </c>
      <c r="P736">
        <v>0.0</v>
      </c>
      <c r="Q736">
        <v>21.5</v>
      </c>
      <c r="R736"/>
      <c r="S736"/>
      <c r="T736"/>
      <c r="U736"/>
      <c r="V736"/>
      <c r="W736">
        <v>18</v>
      </c>
    </row>
    <row r="737" spans="1:23">
      <c r="A737"/>
      <c r="B737" t="s">
        <v>126</v>
      </c>
      <c r="C737" t="s">
        <v>126</v>
      </c>
      <c r="D737" t="s">
        <v>33</v>
      </c>
      <c r="E737" t="s">
        <v>34</v>
      </c>
      <c r="F737" t="str">
        <f>"0017262"</f>
        <v>0017262</v>
      </c>
      <c r="G737">
        <v>1</v>
      </c>
      <c r="H737" t="str">
        <f>"00000001"</f>
        <v>00000001</v>
      </c>
      <c r="I737" t="s">
        <v>35</v>
      </c>
      <c r="J737"/>
      <c r="K737">
        <v>4.24</v>
      </c>
      <c r="L737">
        <v>0.0</v>
      </c>
      <c r="M737"/>
      <c r="N737"/>
      <c r="O737">
        <v>0.76</v>
      </c>
      <c r="P737">
        <v>0.0</v>
      </c>
      <c r="Q737">
        <v>5.0</v>
      </c>
      <c r="R737"/>
      <c r="S737"/>
      <c r="T737"/>
      <c r="U737"/>
      <c r="V737"/>
      <c r="W737">
        <v>18</v>
      </c>
    </row>
    <row r="738" spans="1:23">
      <c r="A738"/>
      <c r="B738" t="s">
        <v>126</v>
      </c>
      <c r="C738" t="s">
        <v>126</v>
      </c>
      <c r="D738" t="s">
        <v>33</v>
      </c>
      <c r="E738" t="s">
        <v>34</v>
      </c>
      <c r="F738" t="str">
        <f>"0017263"</f>
        <v>0017263</v>
      </c>
      <c r="G738">
        <v>1</v>
      </c>
      <c r="H738" t="str">
        <f>"00000001"</f>
        <v>00000001</v>
      </c>
      <c r="I738" t="s">
        <v>35</v>
      </c>
      <c r="J738"/>
      <c r="K738">
        <v>16.95</v>
      </c>
      <c r="L738">
        <v>0.0</v>
      </c>
      <c r="M738"/>
      <c r="N738"/>
      <c r="O738">
        <v>3.05</v>
      </c>
      <c r="P738">
        <v>0.0</v>
      </c>
      <c r="Q738">
        <v>20.0</v>
      </c>
      <c r="R738"/>
      <c r="S738"/>
      <c r="T738"/>
      <c r="U738"/>
      <c r="V738"/>
      <c r="W738">
        <v>18</v>
      </c>
    </row>
    <row r="739" spans="1:23">
      <c r="A739"/>
      <c r="B739" t="s">
        <v>126</v>
      </c>
      <c r="C739" t="s">
        <v>126</v>
      </c>
      <c r="D739" t="s">
        <v>33</v>
      </c>
      <c r="E739" t="s">
        <v>34</v>
      </c>
      <c r="F739" t="str">
        <f>"0017264"</f>
        <v>0017264</v>
      </c>
      <c r="G739">
        <v>1</v>
      </c>
      <c r="H739" t="str">
        <f>"00000001"</f>
        <v>00000001</v>
      </c>
      <c r="I739" t="s">
        <v>35</v>
      </c>
      <c r="J739"/>
      <c r="K739">
        <v>15.25</v>
      </c>
      <c r="L739">
        <v>0.0</v>
      </c>
      <c r="M739"/>
      <c r="N739"/>
      <c r="O739">
        <v>2.75</v>
      </c>
      <c r="P739">
        <v>0.0</v>
      </c>
      <c r="Q739">
        <v>18.0</v>
      </c>
      <c r="R739"/>
      <c r="S739"/>
      <c r="T739"/>
      <c r="U739"/>
      <c r="V739"/>
      <c r="W739">
        <v>18</v>
      </c>
    </row>
    <row r="740" spans="1:23">
      <c r="A740"/>
      <c r="B740" t="s">
        <v>126</v>
      </c>
      <c r="C740" t="s">
        <v>126</v>
      </c>
      <c r="D740" t="s">
        <v>33</v>
      </c>
      <c r="E740" t="s">
        <v>34</v>
      </c>
      <c r="F740" t="str">
        <f>"0017265"</f>
        <v>0017265</v>
      </c>
      <c r="G740">
        <v>1</v>
      </c>
      <c r="H740" t="str">
        <f>"00000001"</f>
        <v>00000001</v>
      </c>
      <c r="I740" t="s">
        <v>35</v>
      </c>
      <c r="J740"/>
      <c r="K740">
        <v>5.08</v>
      </c>
      <c r="L740">
        <v>0.0</v>
      </c>
      <c r="M740"/>
      <c r="N740"/>
      <c r="O740">
        <v>0.92</v>
      </c>
      <c r="P740">
        <v>0.0</v>
      </c>
      <c r="Q740">
        <v>6.0</v>
      </c>
      <c r="R740"/>
      <c r="S740"/>
      <c r="T740"/>
      <c r="U740"/>
      <c r="V740"/>
      <c r="W740">
        <v>18</v>
      </c>
    </row>
    <row r="741" spans="1:23">
      <c r="A741"/>
      <c r="B741" t="s">
        <v>126</v>
      </c>
      <c r="C741" t="s">
        <v>126</v>
      </c>
      <c r="D741" t="s">
        <v>33</v>
      </c>
      <c r="E741" t="s">
        <v>34</v>
      </c>
      <c r="F741" t="str">
        <f>"0017266"</f>
        <v>0017266</v>
      </c>
      <c r="G741">
        <v>1</v>
      </c>
      <c r="H741" t="str">
        <f>"00000001"</f>
        <v>00000001</v>
      </c>
      <c r="I741" t="s">
        <v>35</v>
      </c>
      <c r="J741"/>
      <c r="K741">
        <v>2.54</v>
      </c>
      <c r="L741">
        <v>0.0</v>
      </c>
      <c r="M741"/>
      <c r="N741"/>
      <c r="O741">
        <v>0.46</v>
      </c>
      <c r="P741">
        <v>0.0</v>
      </c>
      <c r="Q741">
        <v>3.0</v>
      </c>
      <c r="R741"/>
      <c r="S741"/>
      <c r="T741"/>
      <c r="U741"/>
      <c r="V741"/>
      <c r="W741">
        <v>18</v>
      </c>
    </row>
    <row r="742" spans="1:23">
      <c r="A742"/>
      <c r="B742" t="s">
        <v>126</v>
      </c>
      <c r="C742" t="s">
        <v>126</v>
      </c>
      <c r="D742" t="s">
        <v>33</v>
      </c>
      <c r="E742" t="s">
        <v>34</v>
      </c>
      <c r="F742" t="str">
        <f>"0017267"</f>
        <v>0017267</v>
      </c>
      <c r="G742">
        <v>1</v>
      </c>
      <c r="H742" t="str">
        <f>"00000001"</f>
        <v>00000001</v>
      </c>
      <c r="I742" t="s">
        <v>35</v>
      </c>
      <c r="J742"/>
      <c r="K742">
        <v>4.24</v>
      </c>
      <c r="L742">
        <v>0.0</v>
      </c>
      <c r="M742"/>
      <c r="N742"/>
      <c r="O742">
        <v>0.76</v>
      </c>
      <c r="P742">
        <v>0.0</v>
      </c>
      <c r="Q742">
        <v>5.0</v>
      </c>
      <c r="R742"/>
      <c r="S742"/>
      <c r="T742"/>
      <c r="U742"/>
      <c r="V742"/>
      <c r="W742">
        <v>18</v>
      </c>
    </row>
    <row r="743" spans="1:23">
      <c r="A743"/>
      <c r="B743" t="s">
        <v>126</v>
      </c>
      <c r="C743" t="s">
        <v>126</v>
      </c>
      <c r="D743" t="s">
        <v>33</v>
      </c>
      <c r="E743" t="s">
        <v>34</v>
      </c>
      <c r="F743" t="str">
        <f>"0017268"</f>
        <v>0017268</v>
      </c>
      <c r="G743">
        <v>1</v>
      </c>
      <c r="H743" t="str">
        <f>"0004ABCD"</f>
        <v>0004ABCD</v>
      </c>
      <c r="I743" t="s">
        <v>127</v>
      </c>
      <c r="J743"/>
      <c r="K743">
        <v>19.92</v>
      </c>
      <c r="L743">
        <v>0.0</v>
      </c>
      <c r="M743"/>
      <c r="N743"/>
      <c r="O743">
        <v>3.58</v>
      </c>
      <c r="P743">
        <v>0.0</v>
      </c>
      <c r="Q743">
        <v>23.5</v>
      </c>
      <c r="R743"/>
      <c r="S743"/>
      <c r="T743"/>
      <c r="U743"/>
      <c r="V743"/>
      <c r="W743">
        <v>18</v>
      </c>
    </row>
    <row r="744" spans="1:23">
      <c r="A744"/>
      <c r="B744" t="s">
        <v>126</v>
      </c>
      <c r="C744" t="s">
        <v>126</v>
      </c>
      <c r="D744" t="s">
        <v>33</v>
      </c>
      <c r="E744" t="s">
        <v>34</v>
      </c>
      <c r="F744" t="str">
        <f>"0017269"</f>
        <v>0017269</v>
      </c>
      <c r="G744">
        <v>1</v>
      </c>
      <c r="H744" t="str">
        <f>"00000001"</f>
        <v>00000001</v>
      </c>
      <c r="I744" t="s">
        <v>35</v>
      </c>
      <c r="J744"/>
      <c r="K744">
        <v>93.22</v>
      </c>
      <c r="L744">
        <v>0.0</v>
      </c>
      <c r="M744"/>
      <c r="N744"/>
      <c r="O744">
        <v>16.78</v>
      </c>
      <c r="P744">
        <v>0.0</v>
      </c>
      <c r="Q744">
        <v>110.0</v>
      </c>
      <c r="R744"/>
      <c r="S744"/>
      <c r="T744"/>
      <c r="U744"/>
      <c r="V744"/>
      <c r="W744">
        <v>18</v>
      </c>
    </row>
    <row r="745" spans="1:23">
      <c r="A745"/>
      <c r="B745" t="s">
        <v>126</v>
      </c>
      <c r="C745" t="s">
        <v>126</v>
      </c>
      <c r="D745" t="s">
        <v>33</v>
      </c>
      <c r="E745" t="s">
        <v>34</v>
      </c>
      <c r="F745" t="str">
        <f>"0017270"</f>
        <v>0017270</v>
      </c>
      <c r="G745">
        <v>1</v>
      </c>
      <c r="H745" t="str">
        <f>"00000001"</f>
        <v>00000001</v>
      </c>
      <c r="I745" t="s">
        <v>35</v>
      </c>
      <c r="J745"/>
      <c r="K745">
        <v>118.64</v>
      </c>
      <c r="L745">
        <v>0.0</v>
      </c>
      <c r="M745"/>
      <c r="N745"/>
      <c r="O745">
        <v>21.36</v>
      </c>
      <c r="P745">
        <v>0.0</v>
      </c>
      <c r="Q745">
        <v>140.0</v>
      </c>
      <c r="R745"/>
      <c r="S745"/>
      <c r="T745"/>
      <c r="U745"/>
      <c r="V745"/>
      <c r="W745">
        <v>18</v>
      </c>
    </row>
    <row r="746" spans="1:23">
      <c r="A746"/>
      <c r="B746" t="s">
        <v>126</v>
      </c>
      <c r="C746" t="s">
        <v>126</v>
      </c>
      <c r="D746" t="s">
        <v>33</v>
      </c>
      <c r="E746" t="s">
        <v>34</v>
      </c>
      <c r="F746" t="str">
        <f>"0017271"</f>
        <v>0017271</v>
      </c>
      <c r="G746">
        <v>1</v>
      </c>
      <c r="H746" t="str">
        <f>"00000001"</f>
        <v>00000001</v>
      </c>
      <c r="I746" t="s">
        <v>35</v>
      </c>
      <c r="J746"/>
      <c r="K746">
        <v>42.37</v>
      </c>
      <c r="L746">
        <v>0.0</v>
      </c>
      <c r="M746"/>
      <c r="N746"/>
      <c r="O746">
        <v>7.63</v>
      </c>
      <c r="P746">
        <v>0.0</v>
      </c>
      <c r="Q746">
        <v>50.0</v>
      </c>
      <c r="R746"/>
      <c r="S746"/>
      <c r="T746"/>
      <c r="U746"/>
      <c r="V746"/>
      <c r="W746">
        <v>18</v>
      </c>
    </row>
    <row r="747" spans="1:23">
      <c r="A747"/>
      <c r="B747" t="s">
        <v>126</v>
      </c>
      <c r="C747" t="s">
        <v>126</v>
      </c>
      <c r="D747" t="s">
        <v>33</v>
      </c>
      <c r="E747" t="s">
        <v>34</v>
      </c>
      <c r="F747" t="str">
        <f>"0017272"</f>
        <v>0017272</v>
      </c>
      <c r="G747">
        <v>1</v>
      </c>
      <c r="H747" t="str">
        <f>"00000001"</f>
        <v>00000001</v>
      </c>
      <c r="I747" t="s">
        <v>35</v>
      </c>
      <c r="J747"/>
      <c r="K747">
        <v>50.85</v>
      </c>
      <c r="L747">
        <v>0.0</v>
      </c>
      <c r="M747"/>
      <c r="N747"/>
      <c r="O747">
        <v>9.15</v>
      </c>
      <c r="P747">
        <v>0.0</v>
      </c>
      <c r="Q747">
        <v>60.0</v>
      </c>
      <c r="R747"/>
      <c r="S747"/>
      <c r="T747"/>
      <c r="U747"/>
      <c r="V747"/>
      <c r="W747">
        <v>18</v>
      </c>
    </row>
    <row r="748" spans="1:23">
      <c r="A748"/>
      <c r="B748" t="s">
        <v>126</v>
      </c>
      <c r="C748" t="s">
        <v>126</v>
      </c>
      <c r="D748" t="s">
        <v>33</v>
      </c>
      <c r="E748" t="s">
        <v>34</v>
      </c>
      <c r="F748" t="str">
        <f>"0017273"</f>
        <v>0017273</v>
      </c>
      <c r="G748">
        <v>1</v>
      </c>
      <c r="H748" t="str">
        <f>"00000001"</f>
        <v>00000001</v>
      </c>
      <c r="I748" t="s">
        <v>35</v>
      </c>
      <c r="J748"/>
      <c r="K748">
        <v>15.25</v>
      </c>
      <c r="L748">
        <v>0.0</v>
      </c>
      <c r="M748"/>
      <c r="N748"/>
      <c r="O748">
        <v>2.75</v>
      </c>
      <c r="P748">
        <v>0.0</v>
      </c>
      <c r="Q748">
        <v>18.0</v>
      </c>
      <c r="R748"/>
      <c r="S748"/>
      <c r="T748"/>
      <c r="U748"/>
      <c r="V748"/>
      <c r="W748">
        <v>18</v>
      </c>
    </row>
    <row r="749" spans="1:23">
      <c r="A749"/>
      <c r="B749" t="s">
        <v>126</v>
      </c>
      <c r="C749" t="s">
        <v>126</v>
      </c>
      <c r="D749" t="s">
        <v>33</v>
      </c>
      <c r="E749" t="s">
        <v>34</v>
      </c>
      <c r="F749" t="str">
        <f>"0017274"</f>
        <v>0017274</v>
      </c>
      <c r="G749">
        <v>1</v>
      </c>
      <c r="H749" t="str">
        <f>"00000001"</f>
        <v>00000001</v>
      </c>
      <c r="I749" t="s">
        <v>35</v>
      </c>
      <c r="J749"/>
      <c r="K749">
        <v>12.71</v>
      </c>
      <c r="L749">
        <v>0.0</v>
      </c>
      <c r="M749"/>
      <c r="N749"/>
      <c r="O749">
        <v>2.29</v>
      </c>
      <c r="P749">
        <v>0.0</v>
      </c>
      <c r="Q749">
        <v>15.0</v>
      </c>
      <c r="R749"/>
      <c r="S749"/>
      <c r="T749"/>
      <c r="U749"/>
      <c r="V749"/>
      <c r="W749">
        <v>18</v>
      </c>
    </row>
    <row r="750" spans="1:23">
      <c r="A750"/>
      <c r="B750" t="s">
        <v>126</v>
      </c>
      <c r="C750" t="s">
        <v>126</v>
      </c>
      <c r="D750" t="s">
        <v>33</v>
      </c>
      <c r="E750" t="s">
        <v>34</v>
      </c>
      <c r="F750" t="str">
        <f>"0017275"</f>
        <v>0017275</v>
      </c>
      <c r="G750">
        <v>1</v>
      </c>
      <c r="H750" t="str">
        <f>"00000001"</f>
        <v>00000001</v>
      </c>
      <c r="I750" t="s">
        <v>35</v>
      </c>
      <c r="J750"/>
      <c r="K750">
        <v>50.85</v>
      </c>
      <c r="L750">
        <v>0.0</v>
      </c>
      <c r="M750"/>
      <c r="N750"/>
      <c r="O750">
        <v>9.15</v>
      </c>
      <c r="P750">
        <v>0.0</v>
      </c>
      <c r="Q750">
        <v>60.0</v>
      </c>
      <c r="R750"/>
      <c r="S750"/>
      <c r="T750"/>
      <c r="U750"/>
      <c r="V750"/>
      <c r="W750">
        <v>18</v>
      </c>
    </row>
    <row r="751" spans="1:23">
      <c r="A751"/>
      <c r="B751" t="s">
        <v>126</v>
      </c>
      <c r="C751" t="s">
        <v>126</v>
      </c>
      <c r="D751" t="s">
        <v>33</v>
      </c>
      <c r="E751" t="s">
        <v>34</v>
      </c>
      <c r="F751" t="str">
        <f>"0017276"</f>
        <v>0017276</v>
      </c>
      <c r="G751">
        <v>1</v>
      </c>
      <c r="H751" t="str">
        <f>"00000001"</f>
        <v>00000001</v>
      </c>
      <c r="I751" t="s">
        <v>35</v>
      </c>
      <c r="J751"/>
      <c r="K751">
        <v>52.54</v>
      </c>
      <c r="L751">
        <v>0.0</v>
      </c>
      <c r="M751"/>
      <c r="N751"/>
      <c r="O751">
        <v>9.46</v>
      </c>
      <c r="P751">
        <v>0.0</v>
      </c>
      <c r="Q751">
        <v>62.0</v>
      </c>
      <c r="R751"/>
      <c r="S751"/>
      <c r="T751"/>
      <c r="U751"/>
      <c r="V751"/>
      <c r="W751">
        <v>18</v>
      </c>
    </row>
    <row r="752" spans="1:23">
      <c r="A752"/>
      <c r="B752" t="s">
        <v>128</v>
      </c>
      <c r="C752" t="s">
        <v>128</v>
      </c>
      <c r="D752" t="s">
        <v>33</v>
      </c>
      <c r="E752" t="s">
        <v>34</v>
      </c>
      <c r="F752" t="str">
        <f>"0017277"</f>
        <v>0017277</v>
      </c>
      <c r="G752">
        <v>1</v>
      </c>
      <c r="H752" t="str">
        <f>"00000001"</f>
        <v>00000001</v>
      </c>
      <c r="I752" t="s">
        <v>35</v>
      </c>
      <c r="J752"/>
      <c r="K752">
        <v>25.42</v>
      </c>
      <c r="L752">
        <v>0.0</v>
      </c>
      <c r="M752"/>
      <c r="N752"/>
      <c r="O752">
        <v>4.58</v>
      </c>
      <c r="P752">
        <v>0.0</v>
      </c>
      <c r="Q752">
        <v>30.0</v>
      </c>
      <c r="R752"/>
      <c r="S752"/>
      <c r="T752"/>
      <c r="U752"/>
      <c r="V752"/>
      <c r="W752">
        <v>18</v>
      </c>
    </row>
    <row r="753" spans="1:23">
      <c r="A753"/>
      <c r="B753" t="s">
        <v>128</v>
      </c>
      <c r="C753" t="s">
        <v>128</v>
      </c>
      <c r="D753" t="s">
        <v>33</v>
      </c>
      <c r="E753" t="s">
        <v>34</v>
      </c>
      <c r="F753" t="str">
        <f>"0017278"</f>
        <v>0017278</v>
      </c>
      <c r="G753">
        <v>1</v>
      </c>
      <c r="H753" t="str">
        <f>"00000001"</f>
        <v>00000001</v>
      </c>
      <c r="I753" t="s">
        <v>35</v>
      </c>
      <c r="J753"/>
      <c r="K753">
        <v>3.81</v>
      </c>
      <c r="L753">
        <v>0.0</v>
      </c>
      <c r="M753"/>
      <c r="N753"/>
      <c r="O753">
        <v>0.69</v>
      </c>
      <c r="P753">
        <v>0.0</v>
      </c>
      <c r="Q753">
        <v>4.5</v>
      </c>
      <c r="R753"/>
      <c r="S753"/>
      <c r="T753"/>
      <c r="U753"/>
      <c r="V753"/>
      <c r="W753">
        <v>18</v>
      </c>
    </row>
    <row r="754" spans="1:23">
      <c r="A754"/>
      <c r="B754" t="s">
        <v>128</v>
      </c>
      <c r="C754" t="s">
        <v>128</v>
      </c>
      <c r="D754" t="s">
        <v>33</v>
      </c>
      <c r="E754" t="s">
        <v>34</v>
      </c>
      <c r="F754" t="str">
        <f>"0017279"</f>
        <v>0017279</v>
      </c>
      <c r="G754">
        <v>1</v>
      </c>
      <c r="H754" t="str">
        <f>"00000001"</f>
        <v>00000001</v>
      </c>
      <c r="I754" t="s">
        <v>35</v>
      </c>
      <c r="J754"/>
      <c r="K754">
        <v>1.27</v>
      </c>
      <c r="L754">
        <v>0.0</v>
      </c>
      <c r="M754"/>
      <c r="N754"/>
      <c r="O754">
        <v>0.23</v>
      </c>
      <c r="P754">
        <v>0.0</v>
      </c>
      <c r="Q754">
        <v>1.5</v>
      </c>
      <c r="R754"/>
      <c r="S754"/>
      <c r="T754"/>
      <c r="U754"/>
      <c r="V754"/>
      <c r="W754">
        <v>18</v>
      </c>
    </row>
    <row r="755" spans="1:23">
      <c r="A755"/>
      <c r="B755" t="s">
        <v>128</v>
      </c>
      <c r="C755" t="s">
        <v>128</v>
      </c>
      <c r="D755" t="s">
        <v>33</v>
      </c>
      <c r="E755" t="s">
        <v>34</v>
      </c>
      <c r="F755" t="str">
        <f>"0017280"</f>
        <v>0017280</v>
      </c>
      <c r="G755">
        <v>1</v>
      </c>
      <c r="H755" t="str">
        <f>"00000001"</f>
        <v>00000001</v>
      </c>
      <c r="I755" t="s">
        <v>35</v>
      </c>
      <c r="J755"/>
      <c r="K755">
        <v>11.86</v>
      </c>
      <c r="L755">
        <v>0.0</v>
      </c>
      <c r="M755"/>
      <c r="N755"/>
      <c r="O755">
        <v>2.14</v>
      </c>
      <c r="P755">
        <v>0.0</v>
      </c>
      <c r="Q755">
        <v>14.0</v>
      </c>
      <c r="R755"/>
      <c r="S755"/>
      <c r="T755"/>
      <c r="U755"/>
      <c r="V755"/>
      <c r="W755">
        <v>18</v>
      </c>
    </row>
    <row r="756" spans="1:23">
      <c r="A756"/>
      <c r="B756" t="s">
        <v>128</v>
      </c>
      <c r="C756" t="s">
        <v>128</v>
      </c>
      <c r="D756" t="s">
        <v>33</v>
      </c>
      <c r="E756" t="s">
        <v>34</v>
      </c>
      <c r="F756" t="str">
        <f>"0017281"</f>
        <v>0017281</v>
      </c>
      <c r="G756">
        <v>1</v>
      </c>
      <c r="H756" t="str">
        <f>"00000001"</f>
        <v>00000001</v>
      </c>
      <c r="I756" t="s">
        <v>35</v>
      </c>
      <c r="J756"/>
      <c r="K756">
        <v>25.17</v>
      </c>
      <c r="L756">
        <v>0.0</v>
      </c>
      <c r="M756"/>
      <c r="N756"/>
      <c r="O756">
        <v>4.53</v>
      </c>
      <c r="P756">
        <v>0.0</v>
      </c>
      <c r="Q756">
        <v>29.7</v>
      </c>
      <c r="R756"/>
      <c r="S756"/>
      <c r="T756"/>
      <c r="U756"/>
      <c r="V756"/>
      <c r="W756">
        <v>18</v>
      </c>
    </row>
    <row r="757" spans="1:23">
      <c r="A757"/>
      <c r="B757" t="s">
        <v>128</v>
      </c>
      <c r="C757" t="s">
        <v>128</v>
      </c>
      <c r="D757" t="s">
        <v>33</v>
      </c>
      <c r="E757" t="s">
        <v>34</v>
      </c>
      <c r="F757" t="str">
        <f>"0017282"</f>
        <v>0017282</v>
      </c>
      <c r="G757">
        <v>1</v>
      </c>
      <c r="H757" t="str">
        <f>"00000001"</f>
        <v>00000001</v>
      </c>
      <c r="I757" t="s">
        <v>35</v>
      </c>
      <c r="J757"/>
      <c r="K757">
        <v>6.78</v>
      </c>
      <c r="L757">
        <v>0.0</v>
      </c>
      <c r="M757"/>
      <c r="N757"/>
      <c r="O757">
        <v>1.22</v>
      </c>
      <c r="P757">
        <v>0.0</v>
      </c>
      <c r="Q757">
        <v>8.0</v>
      </c>
      <c r="R757"/>
      <c r="S757"/>
      <c r="T757"/>
      <c r="U757"/>
      <c r="V757"/>
      <c r="W757">
        <v>18</v>
      </c>
    </row>
    <row r="758" spans="1:23">
      <c r="A758"/>
      <c r="B758" t="s">
        <v>128</v>
      </c>
      <c r="C758" t="s">
        <v>128</v>
      </c>
      <c r="D758" t="s">
        <v>33</v>
      </c>
      <c r="E758" t="s">
        <v>34</v>
      </c>
      <c r="F758" t="str">
        <f>"0017283"</f>
        <v>0017283</v>
      </c>
      <c r="G758">
        <v>1</v>
      </c>
      <c r="H758" t="str">
        <f>"00000001"</f>
        <v>00000001</v>
      </c>
      <c r="I758" t="s">
        <v>35</v>
      </c>
      <c r="J758"/>
      <c r="K758">
        <v>16.95</v>
      </c>
      <c r="L758">
        <v>0.0</v>
      </c>
      <c r="M758"/>
      <c r="N758"/>
      <c r="O758">
        <v>3.05</v>
      </c>
      <c r="P758">
        <v>0.0</v>
      </c>
      <c r="Q758">
        <v>20.0</v>
      </c>
      <c r="R758"/>
      <c r="S758"/>
      <c r="T758"/>
      <c r="U758"/>
      <c r="V758"/>
      <c r="W758">
        <v>18</v>
      </c>
    </row>
    <row r="759" spans="1:23">
      <c r="A759"/>
      <c r="B759" t="s">
        <v>128</v>
      </c>
      <c r="C759" t="s">
        <v>128</v>
      </c>
      <c r="D759" t="s">
        <v>33</v>
      </c>
      <c r="E759" t="s">
        <v>34</v>
      </c>
      <c r="F759" t="str">
        <f>"0017284"</f>
        <v>0017284</v>
      </c>
      <c r="G759">
        <v>1</v>
      </c>
      <c r="H759" t="str">
        <f>"00000001"</f>
        <v>00000001</v>
      </c>
      <c r="I759" t="s">
        <v>35</v>
      </c>
      <c r="J759"/>
      <c r="K759">
        <v>10.17</v>
      </c>
      <c r="L759">
        <v>0.0</v>
      </c>
      <c r="M759"/>
      <c r="N759"/>
      <c r="O759">
        <v>1.83</v>
      </c>
      <c r="P759">
        <v>0.0</v>
      </c>
      <c r="Q759">
        <v>12.0</v>
      </c>
      <c r="R759"/>
      <c r="S759"/>
      <c r="T759"/>
      <c r="U759"/>
      <c r="V759"/>
      <c r="W759">
        <v>18</v>
      </c>
    </row>
    <row r="760" spans="1:23">
      <c r="A760"/>
      <c r="B760" t="s">
        <v>128</v>
      </c>
      <c r="C760" t="s">
        <v>128</v>
      </c>
      <c r="D760" t="s">
        <v>33</v>
      </c>
      <c r="E760" t="s">
        <v>34</v>
      </c>
      <c r="F760" t="str">
        <f>"0017285"</f>
        <v>0017285</v>
      </c>
      <c r="G760">
        <v>1</v>
      </c>
      <c r="H760" t="str">
        <f>"00000001"</f>
        <v>00000001</v>
      </c>
      <c r="I760" t="s">
        <v>35</v>
      </c>
      <c r="J760"/>
      <c r="K760">
        <v>27.12</v>
      </c>
      <c r="L760">
        <v>0.0</v>
      </c>
      <c r="M760"/>
      <c r="N760"/>
      <c r="O760">
        <v>4.88</v>
      </c>
      <c r="P760">
        <v>0.0</v>
      </c>
      <c r="Q760">
        <v>32.0</v>
      </c>
      <c r="R760"/>
      <c r="S760"/>
      <c r="T760"/>
      <c r="U760"/>
      <c r="V760"/>
      <c r="W760">
        <v>18</v>
      </c>
    </row>
    <row r="761" spans="1:23">
      <c r="A761"/>
      <c r="B761" t="s">
        <v>128</v>
      </c>
      <c r="C761" t="s">
        <v>128</v>
      </c>
      <c r="D761" t="s">
        <v>33</v>
      </c>
      <c r="E761" t="s">
        <v>34</v>
      </c>
      <c r="F761" t="str">
        <f>"0017286"</f>
        <v>0017286</v>
      </c>
      <c r="G761">
        <v>1</v>
      </c>
      <c r="H761" t="str">
        <f>"00000001"</f>
        <v>00000001</v>
      </c>
      <c r="I761" t="s">
        <v>35</v>
      </c>
      <c r="J761"/>
      <c r="K761">
        <v>13.56</v>
      </c>
      <c r="L761">
        <v>0.0</v>
      </c>
      <c r="M761"/>
      <c r="N761"/>
      <c r="O761">
        <v>2.44</v>
      </c>
      <c r="P761">
        <v>0.0</v>
      </c>
      <c r="Q761">
        <v>16.0</v>
      </c>
      <c r="R761"/>
      <c r="S761"/>
      <c r="T761"/>
      <c r="U761"/>
      <c r="V761"/>
      <c r="W761">
        <v>18</v>
      </c>
    </row>
    <row r="762" spans="1:23">
      <c r="A762"/>
      <c r="B762" t="s">
        <v>128</v>
      </c>
      <c r="C762" t="s">
        <v>128</v>
      </c>
      <c r="D762" t="s">
        <v>33</v>
      </c>
      <c r="E762" t="s">
        <v>34</v>
      </c>
      <c r="F762" t="str">
        <f>"0017287"</f>
        <v>0017287</v>
      </c>
      <c r="G762">
        <v>1</v>
      </c>
      <c r="H762" t="str">
        <f>"00000001"</f>
        <v>00000001</v>
      </c>
      <c r="I762" t="s">
        <v>35</v>
      </c>
      <c r="J762"/>
      <c r="K762">
        <v>5.25</v>
      </c>
      <c r="L762">
        <v>0.0</v>
      </c>
      <c r="M762"/>
      <c r="N762"/>
      <c r="O762">
        <v>0.95</v>
      </c>
      <c r="P762">
        <v>0.0</v>
      </c>
      <c r="Q762">
        <v>6.2</v>
      </c>
      <c r="R762"/>
      <c r="S762"/>
      <c r="T762"/>
      <c r="U762"/>
      <c r="V762"/>
      <c r="W762">
        <v>18</v>
      </c>
    </row>
    <row r="763" spans="1:23">
      <c r="A763"/>
      <c r="B763" t="s">
        <v>128</v>
      </c>
      <c r="C763" t="s">
        <v>128</v>
      </c>
      <c r="D763" t="s">
        <v>33</v>
      </c>
      <c r="E763" t="s">
        <v>34</v>
      </c>
      <c r="F763" t="str">
        <f>"0017288"</f>
        <v>0017288</v>
      </c>
      <c r="G763">
        <v>1</v>
      </c>
      <c r="H763" t="str">
        <f>"00000001"</f>
        <v>00000001</v>
      </c>
      <c r="I763" t="s">
        <v>35</v>
      </c>
      <c r="J763"/>
      <c r="K763">
        <v>13.56</v>
      </c>
      <c r="L763">
        <v>0.0</v>
      </c>
      <c r="M763"/>
      <c r="N763"/>
      <c r="O763">
        <v>2.44</v>
      </c>
      <c r="P763">
        <v>0.0</v>
      </c>
      <c r="Q763">
        <v>16.0</v>
      </c>
      <c r="R763"/>
      <c r="S763"/>
      <c r="T763"/>
      <c r="U763"/>
      <c r="V763"/>
      <c r="W763">
        <v>18</v>
      </c>
    </row>
    <row r="764" spans="1:23">
      <c r="A764"/>
      <c r="B764" t="s">
        <v>128</v>
      </c>
      <c r="C764" t="s">
        <v>128</v>
      </c>
      <c r="D764" t="s">
        <v>33</v>
      </c>
      <c r="E764" t="s">
        <v>34</v>
      </c>
      <c r="F764" t="str">
        <f>"0017289"</f>
        <v>0017289</v>
      </c>
      <c r="G764">
        <v>1</v>
      </c>
      <c r="H764" t="str">
        <f>"00000001"</f>
        <v>00000001</v>
      </c>
      <c r="I764" t="s">
        <v>35</v>
      </c>
      <c r="J764"/>
      <c r="K764">
        <v>12.71</v>
      </c>
      <c r="L764">
        <v>0.0</v>
      </c>
      <c r="M764"/>
      <c r="N764"/>
      <c r="O764">
        <v>2.29</v>
      </c>
      <c r="P764">
        <v>0.0</v>
      </c>
      <c r="Q764">
        <v>15.0</v>
      </c>
      <c r="R764"/>
      <c r="S764"/>
      <c r="T764"/>
      <c r="U764"/>
      <c r="V764"/>
      <c r="W764">
        <v>18</v>
      </c>
    </row>
    <row r="765" spans="1:23">
      <c r="A765"/>
      <c r="B765" t="s">
        <v>128</v>
      </c>
      <c r="C765" t="s">
        <v>128</v>
      </c>
      <c r="D765" t="s">
        <v>33</v>
      </c>
      <c r="E765" t="s">
        <v>34</v>
      </c>
      <c r="F765" t="str">
        <f>"0017290"</f>
        <v>0017290</v>
      </c>
      <c r="G765">
        <v>1</v>
      </c>
      <c r="H765" t="str">
        <f>"00000001"</f>
        <v>00000001</v>
      </c>
      <c r="I765" t="s">
        <v>35</v>
      </c>
      <c r="J765"/>
      <c r="K765">
        <v>13.56</v>
      </c>
      <c r="L765">
        <v>0.0</v>
      </c>
      <c r="M765"/>
      <c r="N765"/>
      <c r="O765">
        <v>2.44</v>
      </c>
      <c r="P765">
        <v>0.0</v>
      </c>
      <c r="Q765">
        <v>16.0</v>
      </c>
      <c r="R765"/>
      <c r="S765"/>
      <c r="T765"/>
      <c r="U765"/>
      <c r="V765"/>
      <c r="W765">
        <v>18</v>
      </c>
    </row>
    <row r="766" spans="1:23">
      <c r="A766"/>
      <c r="B766" t="s">
        <v>128</v>
      </c>
      <c r="C766" t="s">
        <v>128</v>
      </c>
      <c r="D766" t="s">
        <v>33</v>
      </c>
      <c r="E766" t="s">
        <v>34</v>
      </c>
      <c r="F766" t="str">
        <f>"0017291"</f>
        <v>0017291</v>
      </c>
      <c r="G766">
        <v>1</v>
      </c>
      <c r="H766" t="str">
        <f>"00000001"</f>
        <v>00000001</v>
      </c>
      <c r="I766" t="s">
        <v>35</v>
      </c>
      <c r="J766"/>
      <c r="K766">
        <v>6.78</v>
      </c>
      <c r="L766">
        <v>0.0</v>
      </c>
      <c r="M766"/>
      <c r="N766"/>
      <c r="O766">
        <v>1.22</v>
      </c>
      <c r="P766">
        <v>0.0</v>
      </c>
      <c r="Q766">
        <v>8.0</v>
      </c>
      <c r="R766"/>
      <c r="S766"/>
      <c r="T766"/>
      <c r="U766"/>
      <c r="V766"/>
      <c r="W766">
        <v>18</v>
      </c>
    </row>
    <row r="767" spans="1:23">
      <c r="A767"/>
      <c r="B767" t="s">
        <v>128</v>
      </c>
      <c r="C767" t="s">
        <v>128</v>
      </c>
      <c r="D767" t="s">
        <v>33</v>
      </c>
      <c r="E767" t="s">
        <v>34</v>
      </c>
      <c r="F767" t="str">
        <f>"0017292"</f>
        <v>0017292</v>
      </c>
      <c r="G767">
        <v>1</v>
      </c>
      <c r="H767" t="str">
        <f>"00000001"</f>
        <v>00000001</v>
      </c>
      <c r="I767" t="s">
        <v>35</v>
      </c>
      <c r="J767"/>
      <c r="K767">
        <v>3.39</v>
      </c>
      <c r="L767">
        <v>0.0</v>
      </c>
      <c r="M767"/>
      <c r="N767"/>
      <c r="O767">
        <v>0.61</v>
      </c>
      <c r="P767">
        <v>0.0</v>
      </c>
      <c r="Q767">
        <v>4.0</v>
      </c>
      <c r="R767"/>
      <c r="S767"/>
      <c r="T767"/>
      <c r="U767"/>
      <c r="V767"/>
      <c r="W767">
        <v>18</v>
      </c>
    </row>
    <row r="768" spans="1:23">
      <c r="A768"/>
      <c r="B768" t="s">
        <v>128</v>
      </c>
      <c r="C768" t="s">
        <v>128</v>
      </c>
      <c r="D768" t="s">
        <v>33</v>
      </c>
      <c r="E768" t="s">
        <v>34</v>
      </c>
      <c r="F768" t="str">
        <f>"0017293"</f>
        <v>0017293</v>
      </c>
      <c r="G768">
        <v>1</v>
      </c>
      <c r="H768" t="str">
        <f>"00000001"</f>
        <v>00000001</v>
      </c>
      <c r="I768" t="s">
        <v>35</v>
      </c>
      <c r="J768"/>
      <c r="K768">
        <v>8.47</v>
      </c>
      <c r="L768">
        <v>0.0</v>
      </c>
      <c r="M768"/>
      <c r="N768"/>
      <c r="O768">
        <v>1.53</v>
      </c>
      <c r="P768">
        <v>0.0</v>
      </c>
      <c r="Q768">
        <v>10.0</v>
      </c>
      <c r="R768"/>
      <c r="S768"/>
      <c r="T768"/>
      <c r="U768"/>
      <c r="V768"/>
      <c r="W768">
        <v>18</v>
      </c>
    </row>
    <row r="769" spans="1:23">
      <c r="A769"/>
      <c r="B769" t="s">
        <v>128</v>
      </c>
      <c r="C769" t="s">
        <v>128</v>
      </c>
      <c r="D769" t="s">
        <v>33</v>
      </c>
      <c r="E769" t="s">
        <v>34</v>
      </c>
      <c r="F769" t="str">
        <f>"0017294"</f>
        <v>0017294</v>
      </c>
      <c r="G769">
        <v>1</v>
      </c>
      <c r="H769" t="str">
        <f>"00000001"</f>
        <v>00000001</v>
      </c>
      <c r="I769" t="s">
        <v>35</v>
      </c>
      <c r="J769"/>
      <c r="K769">
        <v>16.95</v>
      </c>
      <c r="L769">
        <v>0.0</v>
      </c>
      <c r="M769"/>
      <c r="N769"/>
      <c r="O769">
        <v>3.05</v>
      </c>
      <c r="P769">
        <v>0.0</v>
      </c>
      <c r="Q769">
        <v>20.0</v>
      </c>
      <c r="R769"/>
      <c r="S769"/>
      <c r="T769"/>
      <c r="U769"/>
      <c r="V769"/>
      <c r="W769">
        <v>18</v>
      </c>
    </row>
    <row r="770" spans="1:23">
      <c r="A770"/>
      <c r="B770" t="s">
        <v>128</v>
      </c>
      <c r="C770" t="s">
        <v>128</v>
      </c>
      <c r="D770" t="s">
        <v>33</v>
      </c>
      <c r="E770" t="s">
        <v>34</v>
      </c>
      <c r="F770" t="str">
        <f>"0017295"</f>
        <v>0017295</v>
      </c>
      <c r="G770">
        <v>1</v>
      </c>
      <c r="H770" t="str">
        <f>"00000001"</f>
        <v>00000001</v>
      </c>
      <c r="I770" t="s">
        <v>35</v>
      </c>
      <c r="J770"/>
      <c r="K770">
        <v>4.24</v>
      </c>
      <c r="L770">
        <v>0.0</v>
      </c>
      <c r="M770"/>
      <c r="N770"/>
      <c r="O770">
        <v>0.76</v>
      </c>
      <c r="P770">
        <v>0.0</v>
      </c>
      <c r="Q770">
        <v>5.0</v>
      </c>
      <c r="R770"/>
      <c r="S770"/>
      <c r="T770"/>
      <c r="U770"/>
      <c r="V770"/>
      <c r="W770">
        <v>18</v>
      </c>
    </row>
    <row r="771" spans="1:23">
      <c r="A771"/>
      <c r="B771" t="s">
        <v>128</v>
      </c>
      <c r="C771" t="s">
        <v>128</v>
      </c>
      <c r="D771" t="s">
        <v>33</v>
      </c>
      <c r="E771" t="s">
        <v>34</v>
      </c>
      <c r="F771" t="str">
        <f>"0017296"</f>
        <v>0017296</v>
      </c>
      <c r="G771">
        <v>1</v>
      </c>
      <c r="H771" t="str">
        <f>"00000001"</f>
        <v>00000001</v>
      </c>
      <c r="I771" t="s">
        <v>35</v>
      </c>
      <c r="J771"/>
      <c r="K771">
        <v>4.24</v>
      </c>
      <c r="L771">
        <v>0.0</v>
      </c>
      <c r="M771"/>
      <c r="N771"/>
      <c r="O771">
        <v>0.76</v>
      </c>
      <c r="P771">
        <v>0.0</v>
      </c>
      <c r="Q771">
        <v>5.0</v>
      </c>
      <c r="R771"/>
      <c r="S771"/>
      <c r="T771"/>
      <c r="U771"/>
      <c r="V771"/>
      <c r="W771">
        <v>18</v>
      </c>
    </row>
    <row r="772" spans="1:23">
      <c r="A772"/>
      <c r="B772" t="s">
        <v>128</v>
      </c>
      <c r="C772" t="s">
        <v>128</v>
      </c>
      <c r="D772" t="s">
        <v>33</v>
      </c>
      <c r="E772" t="s">
        <v>34</v>
      </c>
      <c r="F772" t="str">
        <f>"0017297"</f>
        <v>0017297</v>
      </c>
      <c r="G772">
        <v>1</v>
      </c>
      <c r="H772" t="str">
        <f>"00000001"</f>
        <v>00000001</v>
      </c>
      <c r="I772" t="s">
        <v>35</v>
      </c>
      <c r="J772"/>
      <c r="K772">
        <v>5.08</v>
      </c>
      <c r="L772">
        <v>0.0</v>
      </c>
      <c r="M772"/>
      <c r="N772"/>
      <c r="O772">
        <v>0.92</v>
      </c>
      <c r="P772">
        <v>0.0</v>
      </c>
      <c r="Q772">
        <v>6.0</v>
      </c>
      <c r="R772"/>
      <c r="S772"/>
      <c r="T772"/>
      <c r="U772"/>
      <c r="V772"/>
      <c r="W772">
        <v>18</v>
      </c>
    </row>
    <row r="773" spans="1:23">
      <c r="A773"/>
      <c r="B773" t="s">
        <v>128</v>
      </c>
      <c r="C773" t="s">
        <v>128</v>
      </c>
      <c r="D773" t="s">
        <v>33</v>
      </c>
      <c r="E773" t="s">
        <v>34</v>
      </c>
      <c r="F773" t="str">
        <f>"0017298"</f>
        <v>0017298</v>
      </c>
      <c r="G773">
        <v>1</v>
      </c>
      <c r="H773" t="str">
        <f>"00000001"</f>
        <v>00000001</v>
      </c>
      <c r="I773" t="s">
        <v>35</v>
      </c>
      <c r="J773"/>
      <c r="K773">
        <v>16.95</v>
      </c>
      <c r="L773">
        <v>0.0</v>
      </c>
      <c r="M773"/>
      <c r="N773"/>
      <c r="O773">
        <v>3.05</v>
      </c>
      <c r="P773">
        <v>0.0</v>
      </c>
      <c r="Q773">
        <v>20.0</v>
      </c>
      <c r="R773"/>
      <c r="S773"/>
      <c r="T773"/>
      <c r="U773"/>
      <c r="V773"/>
      <c r="W773">
        <v>18</v>
      </c>
    </row>
    <row r="774" spans="1:23">
      <c r="A774"/>
      <c r="B774" t="s">
        <v>128</v>
      </c>
      <c r="C774" t="s">
        <v>128</v>
      </c>
      <c r="D774" t="s">
        <v>33</v>
      </c>
      <c r="E774" t="s">
        <v>34</v>
      </c>
      <c r="F774" t="str">
        <f>"0017299"</f>
        <v>0017299</v>
      </c>
      <c r="G774">
        <v>1</v>
      </c>
      <c r="H774" t="str">
        <f>"00000001"</f>
        <v>00000001</v>
      </c>
      <c r="I774" t="s">
        <v>35</v>
      </c>
      <c r="J774"/>
      <c r="K774">
        <v>2.97</v>
      </c>
      <c r="L774">
        <v>0.0</v>
      </c>
      <c r="M774"/>
      <c r="N774"/>
      <c r="O774">
        <v>0.53</v>
      </c>
      <c r="P774">
        <v>0.0</v>
      </c>
      <c r="Q774">
        <v>3.5</v>
      </c>
      <c r="R774"/>
      <c r="S774"/>
      <c r="T774"/>
      <c r="U774"/>
      <c r="V774"/>
      <c r="W774">
        <v>18</v>
      </c>
    </row>
    <row r="775" spans="1:23">
      <c r="A775"/>
      <c r="B775" t="s">
        <v>128</v>
      </c>
      <c r="C775" t="s">
        <v>128</v>
      </c>
      <c r="D775" t="s">
        <v>33</v>
      </c>
      <c r="E775" t="s">
        <v>34</v>
      </c>
      <c r="F775" t="str">
        <f>"0017300"</f>
        <v>0017300</v>
      </c>
      <c r="G775">
        <v>1</v>
      </c>
      <c r="H775" t="str">
        <f>"00000001"</f>
        <v>00000001</v>
      </c>
      <c r="I775" t="s">
        <v>35</v>
      </c>
      <c r="J775"/>
      <c r="K775">
        <v>16.95</v>
      </c>
      <c r="L775">
        <v>0.0</v>
      </c>
      <c r="M775"/>
      <c r="N775"/>
      <c r="O775">
        <v>3.05</v>
      </c>
      <c r="P775">
        <v>0.0</v>
      </c>
      <c r="Q775">
        <v>20.0</v>
      </c>
      <c r="R775"/>
      <c r="S775"/>
      <c r="T775"/>
      <c r="U775"/>
      <c r="V775"/>
      <c r="W775">
        <v>18</v>
      </c>
    </row>
    <row r="776" spans="1:23">
      <c r="A776"/>
      <c r="B776" t="s">
        <v>128</v>
      </c>
      <c r="C776" t="s">
        <v>128</v>
      </c>
      <c r="D776" t="s">
        <v>33</v>
      </c>
      <c r="E776" t="s">
        <v>34</v>
      </c>
      <c r="F776" t="str">
        <f>"0017301"</f>
        <v>0017301</v>
      </c>
      <c r="G776">
        <v>1</v>
      </c>
      <c r="H776" t="str">
        <f>"00000001"</f>
        <v>00000001</v>
      </c>
      <c r="I776" t="s">
        <v>35</v>
      </c>
      <c r="J776"/>
      <c r="K776">
        <v>8.47</v>
      </c>
      <c r="L776">
        <v>0.0</v>
      </c>
      <c r="M776"/>
      <c r="N776"/>
      <c r="O776">
        <v>1.53</v>
      </c>
      <c r="P776">
        <v>0.0</v>
      </c>
      <c r="Q776">
        <v>10.0</v>
      </c>
      <c r="R776"/>
      <c r="S776"/>
      <c r="T776"/>
      <c r="U776"/>
      <c r="V776"/>
      <c r="W776">
        <v>18</v>
      </c>
    </row>
    <row r="777" spans="1:23">
      <c r="A777"/>
      <c r="B777" t="s">
        <v>128</v>
      </c>
      <c r="C777" t="s">
        <v>128</v>
      </c>
      <c r="D777" t="s">
        <v>33</v>
      </c>
      <c r="E777" t="s">
        <v>34</v>
      </c>
      <c r="F777" t="str">
        <f>"0017302"</f>
        <v>0017302</v>
      </c>
      <c r="G777">
        <v>1</v>
      </c>
      <c r="H777" t="str">
        <f>"00000001"</f>
        <v>00000001</v>
      </c>
      <c r="I777" t="s">
        <v>35</v>
      </c>
      <c r="J777"/>
      <c r="K777">
        <v>7.63</v>
      </c>
      <c r="L777">
        <v>0.0</v>
      </c>
      <c r="M777"/>
      <c r="N777"/>
      <c r="O777">
        <v>1.37</v>
      </c>
      <c r="P777">
        <v>0.0</v>
      </c>
      <c r="Q777">
        <v>9.0</v>
      </c>
      <c r="R777"/>
      <c r="S777"/>
      <c r="T777"/>
      <c r="U777"/>
      <c r="V777"/>
      <c r="W777">
        <v>18</v>
      </c>
    </row>
    <row r="778" spans="1:23">
      <c r="A778"/>
      <c r="B778" t="s">
        <v>129</v>
      </c>
      <c r="C778" t="s">
        <v>129</v>
      </c>
      <c r="D778" t="s">
        <v>33</v>
      </c>
      <c r="E778" t="s">
        <v>34</v>
      </c>
      <c r="F778" t="str">
        <f>"0017303"</f>
        <v>0017303</v>
      </c>
      <c r="G778">
        <v>1</v>
      </c>
      <c r="H778" t="str">
        <f>"00000001"</f>
        <v>00000001</v>
      </c>
      <c r="I778" t="s">
        <v>35</v>
      </c>
      <c r="J778"/>
      <c r="K778">
        <v>24.58</v>
      </c>
      <c r="L778">
        <v>0.0</v>
      </c>
      <c r="M778"/>
      <c r="N778"/>
      <c r="O778">
        <v>4.42</v>
      </c>
      <c r="P778">
        <v>0.0</v>
      </c>
      <c r="Q778">
        <v>29.0</v>
      </c>
      <c r="R778"/>
      <c r="S778"/>
      <c r="T778"/>
      <c r="U778"/>
      <c r="V778"/>
      <c r="W778">
        <v>18</v>
      </c>
    </row>
    <row r="779" spans="1:23">
      <c r="A779"/>
      <c r="B779" t="s">
        <v>129</v>
      </c>
      <c r="C779" t="s">
        <v>129</v>
      </c>
      <c r="D779" t="s">
        <v>33</v>
      </c>
      <c r="E779" t="s">
        <v>34</v>
      </c>
      <c r="F779" t="str">
        <f>"0017304"</f>
        <v>0017304</v>
      </c>
      <c r="G779">
        <v>1</v>
      </c>
      <c r="H779" t="str">
        <f>"00000001"</f>
        <v>00000001</v>
      </c>
      <c r="I779" t="s">
        <v>35</v>
      </c>
      <c r="J779"/>
      <c r="K779">
        <v>9.32</v>
      </c>
      <c r="L779">
        <v>0.0</v>
      </c>
      <c r="M779"/>
      <c r="N779"/>
      <c r="O779">
        <v>1.68</v>
      </c>
      <c r="P779">
        <v>0.0</v>
      </c>
      <c r="Q779">
        <v>11.0</v>
      </c>
      <c r="R779"/>
      <c r="S779"/>
      <c r="T779"/>
      <c r="U779"/>
      <c r="V779"/>
      <c r="W779">
        <v>18</v>
      </c>
    </row>
    <row r="780" spans="1:23">
      <c r="A780"/>
      <c r="B780" t="s">
        <v>129</v>
      </c>
      <c r="C780" t="s">
        <v>129</v>
      </c>
      <c r="D780" t="s">
        <v>33</v>
      </c>
      <c r="E780" t="s">
        <v>34</v>
      </c>
      <c r="F780" t="str">
        <f>"0017305"</f>
        <v>0017305</v>
      </c>
      <c r="G780">
        <v>1</v>
      </c>
      <c r="H780" t="str">
        <f>"00000001"</f>
        <v>00000001</v>
      </c>
      <c r="I780" t="s">
        <v>35</v>
      </c>
      <c r="J780"/>
      <c r="K780">
        <v>3.39</v>
      </c>
      <c r="L780">
        <v>0.0</v>
      </c>
      <c r="M780"/>
      <c r="N780"/>
      <c r="O780">
        <v>0.61</v>
      </c>
      <c r="P780">
        <v>0.0</v>
      </c>
      <c r="Q780">
        <v>4.0</v>
      </c>
      <c r="R780"/>
      <c r="S780"/>
      <c r="T780"/>
      <c r="U780"/>
      <c r="V780"/>
      <c r="W780">
        <v>18</v>
      </c>
    </row>
    <row r="781" spans="1:23">
      <c r="A781"/>
      <c r="B781" t="s">
        <v>129</v>
      </c>
      <c r="C781" t="s">
        <v>129</v>
      </c>
      <c r="D781" t="s">
        <v>33</v>
      </c>
      <c r="E781" t="s">
        <v>34</v>
      </c>
      <c r="F781" t="str">
        <f>"0017306"</f>
        <v>0017306</v>
      </c>
      <c r="G781">
        <v>1</v>
      </c>
      <c r="H781" t="str">
        <f>"00000001"</f>
        <v>00000001</v>
      </c>
      <c r="I781" t="s">
        <v>35</v>
      </c>
      <c r="J781"/>
      <c r="K781">
        <v>33.9</v>
      </c>
      <c r="L781">
        <v>0.0</v>
      </c>
      <c r="M781"/>
      <c r="N781"/>
      <c r="O781">
        <v>6.1</v>
      </c>
      <c r="P781">
        <v>0.0</v>
      </c>
      <c r="Q781">
        <v>40.0</v>
      </c>
      <c r="R781"/>
      <c r="S781"/>
      <c r="T781"/>
      <c r="U781"/>
      <c r="V781"/>
      <c r="W781">
        <v>18</v>
      </c>
    </row>
    <row r="782" spans="1:23">
      <c r="A782"/>
      <c r="B782" t="s">
        <v>129</v>
      </c>
      <c r="C782" t="s">
        <v>129</v>
      </c>
      <c r="D782" t="s">
        <v>33</v>
      </c>
      <c r="E782" t="s">
        <v>34</v>
      </c>
      <c r="F782" t="str">
        <f>"0017307"</f>
        <v>0017307</v>
      </c>
      <c r="G782">
        <v>1</v>
      </c>
      <c r="H782" t="str">
        <f>"00000001"</f>
        <v>00000001</v>
      </c>
      <c r="I782" t="s">
        <v>35</v>
      </c>
      <c r="J782"/>
      <c r="K782">
        <v>5.08</v>
      </c>
      <c r="L782">
        <v>0.0</v>
      </c>
      <c r="M782"/>
      <c r="N782"/>
      <c r="O782">
        <v>0.92</v>
      </c>
      <c r="P782">
        <v>0.0</v>
      </c>
      <c r="Q782">
        <v>6.0</v>
      </c>
      <c r="R782"/>
      <c r="S782"/>
      <c r="T782"/>
      <c r="U782"/>
      <c r="V782"/>
      <c r="W782">
        <v>18</v>
      </c>
    </row>
    <row r="783" spans="1:23">
      <c r="A783"/>
      <c r="B783" t="s">
        <v>129</v>
      </c>
      <c r="C783" t="s">
        <v>129</v>
      </c>
      <c r="D783" t="s">
        <v>33</v>
      </c>
      <c r="E783" t="s">
        <v>34</v>
      </c>
      <c r="F783" t="str">
        <f>"0017308"</f>
        <v>0017308</v>
      </c>
      <c r="G783">
        <v>1</v>
      </c>
      <c r="H783" t="str">
        <f>"00000001"</f>
        <v>00000001</v>
      </c>
      <c r="I783" t="s">
        <v>35</v>
      </c>
      <c r="J783"/>
      <c r="K783">
        <v>14.83</v>
      </c>
      <c r="L783">
        <v>0.0</v>
      </c>
      <c r="M783"/>
      <c r="N783"/>
      <c r="O783">
        <v>2.67</v>
      </c>
      <c r="P783">
        <v>0.0</v>
      </c>
      <c r="Q783">
        <v>17.5</v>
      </c>
      <c r="R783"/>
      <c r="S783"/>
      <c r="T783"/>
      <c r="U783"/>
      <c r="V783"/>
      <c r="W783">
        <v>18</v>
      </c>
    </row>
    <row r="784" spans="1:23">
      <c r="A784"/>
      <c r="B784" t="s">
        <v>129</v>
      </c>
      <c r="C784" t="s">
        <v>129</v>
      </c>
      <c r="D784" t="s">
        <v>33</v>
      </c>
      <c r="E784" t="s">
        <v>34</v>
      </c>
      <c r="F784" t="str">
        <f>"0017309"</f>
        <v>0017309</v>
      </c>
      <c r="G784">
        <v>1</v>
      </c>
      <c r="H784" t="str">
        <f>"00000001"</f>
        <v>00000001</v>
      </c>
      <c r="I784" t="s">
        <v>35</v>
      </c>
      <c r="J784"/>
      <c r="K784">
        <v>15.25</v>
      </c>
      <c r="L784">
        <v>0.0</v>
      </c>
      <c r="M784"/>
      <c r="N784"/>
      <c r="O784">
        <v>2.75</v>
      </c>
      <c r="P784">
        <v>0.0</v>
      </c>
      <c r="Q784">
        <v>18.0</v>
      </c>
      <c r="R784"/>
      <c r="S784"/>
      <c r="T784"/>
      <c r="U784"/>
      <c r="V784"/>
      <c r="W784">
        <v>18</v>
      </c>
    </row>
    <row r="785" spans="1:23">
      <c r="A785"/>
      <c r="B785" t="s">
        <v>129</v>
      </c>
      <c r="C785" t="s">
        <v>129</v>
      </c>
      <c r="D785" t="s">
        <v>33</v>
      </c>
      <c r="E785" t="s">
        <v>34</v>
      </c>
      <c r="F785" t="str">
        <f>"0017310"</f>
        <v>0017310</v>
      </c>
      <c r="G785">
        <v>1</v>
      </c>
      <c r="H785" t="str">
        <f>"00000001"</f>
        <v>00000001</v>
      </c>
      <c r="I785" t="s">
        <v>35</v>
      </c>
      <c r="J785"/>
      <c r="K785">
        <v>54.24</v>
      </c>
      <c r="L785">
        <v>0.0</v>
      </c>
      <c r="M785"/>
      <c r="N785"/>
      <c r="O785">
        <v>9.76</v>
      </c>
      <c r="P785">
        <v>0.0</v>
      </c>
      <c r="Q785">
        <v>64.0</v>
      </c>
      <c r="R785"/>
      <c r="S785"/>
      <c r="T785"/>
      <c r="U785"/>
      <c r="V785"/>
      <c r="W785">
        <v>18</v>
      </c>
    </row>
    <row r="786" spans="1:23">
      <c r="A786"/>
      <c r="B786" t="s">
        <v>129</v>
      </c>
      <c r="C786" t="s">
        <v>129</v>
      </c>
      <c r="D786" t="s">
        <v>33</v>
      </c>
      <c r="E786" t="s">
        <v>34</v>
      </c>
      <c r="F786" t="str">
        <f>"0017311"</f>
        <v>0017311</v>
      </c>
      <c r="G786">
        <v>1</v>
      </c>
      <c r="H786" t="str">
        <f>"00000001"</f>
        <v>00000001</v>
      </c>
      <c r="I786" t="s">
        <v>35</v>
      </c>
      <c r="J786"/>
      <c r="K786">
        <v>16.95</v>
      </c>
      <c r="L786">
        <v>0.0</v>
      </c>
      <c r="M786"/>
      <c r="N786"/>
      <c r="O786">
        <v>3.05</v>
      </c>
      <c r="P786">
        <v>0.0</v>
      </c>
      <c r="Q786">
        <v>20.0</v>
      </c>
      <c r="R786"/>
      <c r="S786"/>
      <c r="T786"/>
      <c r="U786"/>
      <c r="V786"/>
      <c r="W786">
        <v>18</v>
      </c>
    </row>
    <row r="787" spans="1:23">
      <c r="A787"/>
      <c r="B787" t="s">
        <v>129</v>
      </c>
      <c r="C787" t="s">
        <v>129</v>
      </c>
      <c r="D787" t="s">
        <v>33</v>
      </c>
      <c r="E787" t="s">
        <v>34</v>
      </c>
      <c r="F787" t="str">
        <f>"0017312"</f>
        <v>0017312</v>
      </c>
      <c r="G787">
        <v>1</v>
      </c>
      <c r="H787" t="str">
        <f>"00000001"</f>
        <v>00000001</v>
      </c>
      <c r="I787" t="s">
        <v>35</v>
      </c>
      <c r="J787"/>
      <c r="K787">
        <v>8.05</v>
      </c>
      <c r="L787">
        <v>0.0</v>
      </c>
      <c r="M787"/>
      <c r="N787"/>
      <c r="O787">
        <v>1.45</v>
      </c>
      <c r="P787">
        <v>0.0</v>
      </c>
      <c r="Q787">
        <v>9.5</v>
      </c>
      <c r="R787"/>
      <c r="S787"/>
      <c r="T787"/>
      <c r="U787"/>
      <c r="V787"/>
      <c r="W787">
        <v>18</v>
      </c>
    </row>
    <row r="788" spans="1:23">
      <c r="A788"/>
      <c r="B788" t="s">
        <v>129</v>
      </c>
      <c r="C788" t="s">
        <v>129</v>
      </c>
      <c r="D788" t="s">
        <v>33</v>
      </c>
      <c r="E788" t="s">
        <v>34</v>
      </c>
      <c r="F788" t="str">
        <f>"0017313"</f>
        <v>0017313</v>
      </c>
      <c r="G788">
        <v>1</v>
      </c>
      <c r="H788" t="str">
        <f>"00000001"</f>
        <v>00000001</v>
      </c>
      <c r="I788" t="s">
        <v>35</v>
      </c>
      <c r="J788"/>
      <c r="K788">
        <v>127.12</v>
      </c>
      <c r="L788">
        <v>0.0</v>
      </c>
      <c r="M788"/>
      <c r="N788"/>
      <c r="O788">
        <v>22.88</v>
      </c>
      <c r="P788">
        <v>0.0</v>
      </c>
      <c r="Q788">
        <v>150.0</v>
      </c>
      <c r="R788"/>
      <c r="S788"/>
      <c r="T788"/>
      <c r="U788"/>
      <c r="V788"/>
      <c r="W788">
        <v>18</v>
      </c>
    </row>
    <row r="789" spans="1:23">
      <c r="A789"/>
      <c r="B789" t="s">
        <v>129</v>
      </c>
      <c r="C789" t="s">
        <v>129</v>
      </c>
      <c r="D789" t="s">
        <v>33</v>
      </c>
      <c r="E789" t="s">
        <v>34</v>
      </c>
      <c r="F789" t="str">
        <f>"0017314"</f>
        <v>0017314</v>
      </c>
      <c r="G789">
        <v>1</v>
      </c>
      <c r="H789" t="str">
        <f>"00000001"</f>
        <v>00000001</v>
      </c>
      <c r="I789" t="s">
        <v>35</v>
      </c>
      <c r="J789"/>
      <c r="K789">
        <v>13.56</v>
      </c>
      <c r="L789">
        <v>0.0</v>
      </c>
      <c r="M789"/>
      <c r="N789"/>
      <c r="O789">
        <v>2.44</v>
      </c>
      <c r="P789">
        <v>0.0</v>
      </c>
      <c r="Q789">
        <v>16.0</v>
      </c>
      <c r="R789"/>
      <c r="S789"/>
      <c r="T789"/>
      <c r="U789"/>
      <c r="V789"/>
      <c r="W789">
        <v>18</v>
      </c>
    </row>
    <row r="790" spans="1:23">
      <c r="A790"/>
      <c r="B790" t="s">
        <v>129</v>
      </c>
      <c r="C790" t="s">
        <v>129</v>
      </c>
      <c r="D790" t="s">
        <v>33</v>
      </c>
      <c r="E790" t="s">
        <v>34</v>
      </c>
      <c r="F790" t="str">
        <f>"0017315"</f>
        <v>0017315</v>
      </c>
      <c r="G790">
        <v>1</v>
      </c>
      <c r="H790" t="str">
        <f>"00000001"</f>
        <v>00000001</v>
      </c>
      <c r="I790" t="s">
        <v>35</v>
      </c>
      <c r="J790"/>
      <c r="K790">
        <v>3.39</v>
      </c>
      <c r="L790">
        <v>0.0</v>
      </c>
      <c r="M790"/>
      <c r="N790"/>
      <c r="O790">
        <v>0.61</v>
      </c>
      <c r="P790">
        <v>0.0</v>
      </c>
      <c r="Q790">
        <v>4.0</v>
      </c>
      <c r="R790"/>
      <c r="S790"/>
      <c r="T790"/>
      <c r="U790"/>
      <c r="V790"/>
      <c r="W790">
        <v>18</v>
      </c>
    </row>
    <row r="791" spans="1:23">
      <c r="A791"/>
      <c r="B791" t="s">
        <v>129</v>
      </c>
      <c r="C791" t="s">
        <v>129</v>
      </c>
      <c r="D791" t="s">
        <v>33</v>
      </c>
      <c r="E791" t="s">
        <v>34</v>
      </c>
      <c r="F791" t="str">
        <f>"0017316"</f>
        <v>0017316</v>
      </c>
      <c r="G791">
        <v>1</v>
      </c>
      <c r="H791" t="str">
        <f>"00000001"</f>
        <v>00000001</v>
      </c>
      <c r="I791" t="s">
        <v>35</v>
      </c>
      <c r="J791"/>
      <c r="K791">
        <v>16.95</v>
      </c>
      <c r="L791">
        <v>0.0</v>
      </c>
      <c r="M791"/>
      <c r="N791"/>
      <c r="O791">
        <v>3.05</v>
      </c>
      <c r="P791">
        <v>0.0</v>
      </c>
      <c r="Q791">
        <v>20.0</v>
      </c>
      <c r="R791"/>
      <c r="S791"/>
      <c r="T791"/>
      <c r="U791"/>
      <c r="V791"/>
      <c r="W791">
        <v>18</v>
      </c>
    </row>
    <row r="792" spans="1:23">
      <c r="A792"/>
      <c r="B792" t="s">
        <v>129</v>
      </c>
      <c r="C792" t="s">
        <v>129</v>
      </c>
      <c r="D792" t="s">
        <v>33</v>
      </c>
      <c r="E792" t="s">
        <v>34</v>
      </c>
      <c r="F792" t="str">
        <f>"0017317"</f>
        <v>0017317</v>
      </c>
      <c r="G792">
        <v>1</v>
      </c>
      <c r="H792" t="str">
        <f>"00000001"</f>
        <v>00000001</v>
      </c>
      <c r="I792" t="s">
        <v>35</v>
      </c>
      <c r="J792"/>
      <c r="K792">
        <v>6.78</v>
      </c>
      <c r="L792">
        <v>0.0</v>
      </c>
      <c r="M792"/>
      <c r="N792"/>
      <c r="O792">
        <v>1.22</v>
      </c>
      <c r="P792">
        <v>0.0</v>
      </c>
      <c r="Q792">
        <v>8.0</v>
      </c>
      <c r="R792"/>
      <c r="S792"/>
      <c r="T792"/>
      <c r="U792"/>
      <c r="V792"/>
      <c r="W792">
        <v>18</v>
      </c>
    </row>
    <row r="793" spans="1:23">
      <c r="A793"/>
      <c r="B793" t="s">
        <v>129</v>
      </c>
      <c r="C793" t="s">
        <v>129</v>
      </c>
      <c r="D793" t="s">
        <v>33</v>
      </c>
      <c r="E793" t="s">
        <v>34</v>
      </c>
      <c r="F793" t="str">
        <f>"0017318"</f>
        <v>0017318</v>
      </c>
      <c r="G793">
        <v>1</v>
      </c>
      <c r="H793" t="str">
        <f>"00000001"</f>
        <v>00000001</v>
      </c>
      <c r="I793" t="s">
        <v>35</v>
      </c>
      <c r="J793"/>
      <c r="K793">
        <v>3.39</v>
      </c>
      <c r="L793">
        <v>0.0</v>
      </c>
      <c r="M793"/>
      <c r="N793"/>
      <c r="O793">
        <v>0.61</v>
      </c>
      <c r="P793">
        <v>0.0</v>
      </c>
      <c r="Q793">
        <v>4.0</v>
      </c>
      <c r="R793"/>
      <c r="S793"/>
      <c r="T793"/>
      <c r="U793"/>
      <c r="V793"/>
      <c r="W793">
        <v>18</v>
      </c>
    </row>
    <row r="794" spans="1:23">
      <c r="A794"/>
      <c r="B794" t="s">
        <v>129</v>
      </c>
      <c r="C794" t="s">
        <v>129</v>
      </c>
      <c r="D794" t="s">
        <v>33</v>
      </c>
      <c r="E794" t="s">
        <v>34</v>
      </c>
      <c r="F794" t="str">
        <f>"0017319"</f>
        <v>0017319</v>
      </c>
      <c r="G794">
        <v>1</v>
      </c>
      <c r="H794" t="str">
        <f>"00000001"</f>
        <v>00000001</v>
      </c>
      <c r="I794" t="s">
        <v>35</v>
      </c>
      <c r="J794"/>
      <c r="K794">
        <v>4.24</v>
      </c>
      <c r="L794">
        <v>0.0</v>
      </c>
      <c r="M794"/>
      <c r="N794"/>
      <c r="O794">
        <v>0.76</v>
      </c>
      <c r="P794">
        <v>0.0</v>
      </c>
      <c r="Q794">
        <v>5.0</v>
      </c>
      <c r="R794"/>
      <c r="S794"/>
      <c r="T794"/>
      <c r="U794"/>
      <c r="V794"/>
      <c r="W794">
        <v>18</v>
      </c>
    </row>
    <row r="795" spans="1:23">
      <c r="A795"/>
      <c r="B795" t="s">
        <v>129</v>
      </c>
      <c r="C795" t="s">
        <v>129</v>
      </c>
      <c r="D795" t="s">
        <v>33</v>
      </c>
      <c r="E795" t="s">
        <v>34</v>
      </c>
      <c r="F795" t="str">
        <f>"0017320"</f>
        <v>0017320</v>
      </c>
      <c r="G795">
        <v>1</v>
      </c>
      <c r="H795" t="str">
        <f>"00000001"</f>
        <v>00000001</v>
      </c>
      <c r="I795" t="s">
        <v>35</v>
      </c>
      <c r="J795"/>
      <c r="K795">
        <v>13.56</v>
      </c>
      <c r="L795">
        <v>0.0</v>
      </c>
      <c r="M795"/>
      <c r="N795"/>
      <c r="O795">
        <v>2.44</v>
      </c>
      <c r="P795">
        <v>0.0</v>
      </c>
      <c r="Q795">
        <v>16.0</v>
      </c>
      <c r="R795"/>
      <c r="S795"/>
      <c r="T795"/>
      <c r="U795"/>
      <c r="V795"/>
      <c r="W795">
        <v>18</v>
      </c>
    </row>
    <row r="796" spans="1:23">
      <c r="A796"/>
      <c r="B796" t="s">
        <v>130</v>
      </c>
      <c r="C796" t="s">
        <v>130</v>
      </c>
      <c r="D796" t="s">
        <v>33</v>
      </c>
      <c r="E796" t="s">
        <v>34</v>
      </c>
      <c r="F796" t="str">
        <f>"0017321"</f>
        <v>0017321</v>
      </c>
      <c r="G796">
        <v>1</v>
      </c>
      <c r="H796" t="str">
        <f>"00000001"</f>
        <v>00000001</v>
      </c>
      <c r="I796" t="s">
        <v>35</v>
      </c>
      <c r="J796"/>
      <c r="K796">
        <v>8.47</v>
      </c>
      <c r="L796">
        <v>0.0</v>
      </c>
      <c r="M796"/>
      <c r="N796"/>
      <c r="O796">
        <v>1.53</v>
      </c>
      <c r="P796">
        <v>0.0</v>
      </c>
      <c r="Q796">
        <v>10.0</v>
      </c>
      <c r="R796"/>
      <c r="S796"/>
      <c r="T796"/>
      <c r="U796"/>
      <c r="V796"/>
      <c r="W796">
        <v>18</v>
      </c>
    </row>
    <row r="797" spans="1:23">
      <c r="A797"/>
      <c r="B797" t="s">
        <v>130</v>
      </c>
      <c r="C797" t="s">
        <v>130</v>
      </c>
      <c r="D797" t="s">
        <v>33</v>
      </c>
      <c r="E797" t="s">
        <v>34</v>
      </c>
      <c r="F797" t="str">
        <f>"0017322"</f>
        <v>0017322</v>
      </c>
      <c r="G797">
        <v>1</v>
      </c>
      <c r="H797" t="str">
        <f>"42867119"</f>
        <v>42867119</v>
      </c>
      <c r="I797" t="s">
        <v>131</v>
      </c>
      <c r="J797"/>
      <c r="K797">
        <v>67.8</v>
      </c>
      <c r="L797">
        <v>0.0</v>
      </c>
      <c r="M797"/>
      <c r="N797"/>
      <c r="O797">
        <v>12.2</v>
      </c>
      <c r="P797">
        <v>0.0</v>
      </c>
      <c r="Q797">
        <v>80.0</v>
      </c>
      <c r="R797"/>
      <c r="S797"/>
      <c r="T797"/>
      <c r="U797"/>
      <c r="V797"/>
      <c r="W797">
        <v>18</v>
      </c>
    </row>
    <row r="798" spans="1:23">
      <c r="A798"/>
      <c r="B798" t="s">
        <v>130</v>
      </c>
      <c r="C798" t="s">
        <v>130</v>
      </c>
      <c r="D798" t="s">
        <v>33</v>
      </c>
      <c r="E798" t="s">
        <v>34</v>
      </c>
      <c r="F798" t="str">
        <f>"0017323"</f>
        <v>0017323</v>
      </c>
      <c r="G798">
        <v>1</v>
      </c>
      <c r="H798" t="str">
        <f>"00000001"</f>
        <v>00000001</v>
      </c>
      <c r="I798" t="s">
        <v>35</v>
      </c>
      <c r="J798"/>
      <c r="K798">
        <v>52.54</v>
      </c>
      <c r="L798">
        <v>0.0</v>
      </c>
      <c r="M798"/>
      <c r="N798"/>
      <c r="O798">
        <v>9.46</v>
      </c>
      <c r="P798">
        <v>0.0</v>
      </c>
      <c r="Q798">
        <v>62.0</v>
      </c>
      <c r="R798"/>
      <c r="S798"/>
      <c r="T798"/>
      <c r="U798"/>
      <c r="V798"/>
      <c r="W798">
        <v>18</v>
      </c>
    </row>
    <row r="799" spans="1:23">
      <c r="A799"/>
      <c r="B799" t="s">
        <v>130</v>
      </c>
      <c r="C799" t="s">
        <v>130</v>
      </c>
      <c r="D799" t="s">
        <v>33</v>
      </c>
      <c r="E799" t="s">
        <v>34</v>
      </c>
      <c r="F799" t="str">
        <f>"0017324"</f>
        <v>0017324</v>
      </c>
      <c r="G799">
        <v>1</v>
      </c>
      <c r="H799" t="str">
        <f>"00000001"</f>
        <v>00000001</v>
      </c>
      <c r="I799" t="s">
        <v>35</v>
      </c>
      <c r="J799"/>
      <c r="K799">
        <v>3.39</v>
      </c>
      <c r="L799">
        <v>0.0</v>
      </c>
      <c r="M799"/>
      <c r="N799"/>
      <c r="O799">
        <v>0.61</v>
      </c>
      <c r="P799">
        <v>0.0</v>
      </c>
      <c r="Q799">
        <v>4.0</v>
      </c>
      <c r="R799"/>
      <c r="S799"/>
      <c r="T799"/>
      <c r="U799"/>
      <c r="V799"/>
      <c r="W799">
        <v>18</v>
      </c>
    </row>
    <row r="800" spans="1:23">
      <c r="A800"/>
      <c r="B800" t="s">
        <v>130</v>
      </c>
      <c r="C800" t="s">
        <v>130</v>
      </c>
      <c r="D800" t="s">
        <v>33</v>
      </c>
      <c r="E800" t="s">
        <v>34</v>
      </c>
      <c r="F800" t="str">
        <f>"0017325"</f>
        <v>0017325</v>
      </c>
      <c r="G800">
        <v>1</v>
      </c>
      <c r="H800" t="str">
        <f>"00000001"</f>
        <v>00000001</v>
      </c>
      <c r="I800" t="s">
        <v>35</v>
      </c>
      <c r="J800"/>
      <c r="K800">
        <v>13.98</v>
      </c>
      <c r="L800">
        <v>0.0</v>
      </c>
      <c r="M800"/>
      <c r="N800"/>
      <c r="O800">
        <v>2.52</v>
      </c>
      <c r="P800">
        <v>0.0</v>
      </c>
      <c r="Q800">
        <v>16.5</v>
      </c>
      <c r="R800"/>
      <c r="S800"/>
      <c r="T800"/>
      <c r="U800"/>
      <c r="V800"/>
      <c r="W800">
        <v>18</v>
      </c>
    </row>
    <row r="801" spans="1:23">
      <c r="A801"/>
      <c r="B801" t="s">
        <v>130</v>
      </c>
      <c r="C801" t="s">
        <v>130</v>
      </c>
      <c r="D801" t="s">
        <v>33</v>
      </c>
      <c r="E801" t="s">
        <v>34</v>
      </c>
      <c r="F801" t="str">
        <f>"0017326"</f>
        <v>0017326</v>
      </c>
      <c r="G801">
        <v>1</v>
      </c>
      <c r="H801" t="str">
        <f>"00000001"</f>
        <v>00000001</v>
      </c>
      <c r="I801" t="s">
        <v>35</v>
      </c>
      <c r="J801"/>
      <c r="K801">
        <v>42.37</v>
      </c>
      <c r="L801">
        <v>0.0</v>
      </c>
      <c r="M801"/>
      <c r="N801"/>
      <c r="O801">
        <v>7.63</v>
      </c>
      <c r="P801">
        <v>0.0</v>
      </c>
      <c r="Q801">
        <v>50.0</v>
      </c>
      <c r="R801"/>
      <c r="S801"/>
      <c r="T801"/>
      <c r="U801"/>
      <c r="V801"/>
      <c r="W801">
        <v>18</v>
      </c>
    </row>
    <row r="802" spans="1:23">
      <c r="A802"/>
      <c r="B802" t="s">
        <v>130</v>
      </c>
      <c r="C802" t="s">
        <v>130</v>
      </c>
      <c r="D802" t="s">
        <v>33</v>
      </c>
      <c r="E802" t="s">
        <v>34</v>
      </c>
      <c r="F802" t="str">
        <f>"0017327"</f>
        <v>0017327</v>
      </c>
      <c r="G802">
        <v>1</v>
      </c>
      <c r="H802" t="str">
        <f>"00000001"</f>
        <v>00000001</v>
      </c>
      <c r="I802" t="s">
        <v>35</v>
      </c>
      <c r="J802"/>
      <c r="K802">
        <v>25.42</v>
      </c>
      <c r="L802">
        <v>0.0</v>
      </c>
      <c r="M802"/>
      <c r="N802"/>
      <c r="O802">
        <v>4.58</v>
      </c>
      <c r="P802">
        <v>0.0</v>
      </c>
      <c r="Q802">
        <v>30.0</v>
      </c>
      <c r="R802"/>
      <c r="S802"/>
      <c r="T802"/>
      <c r="U802"/>
      <c r="V802"/>
      <c r="W802">
        <v>18</v>
      </c>
    </row>
    <row r="803" spans="1:23">
      <c r="A803"/>
      <c r="B803" t="s">
        <v>130</v>
      </c>
      <c r="C803" t="s">
        <v>130</v>
      </c>
      <c r="D803" t="s">
        <v>33</v>
      </c>
      <c r="E803" t="s">
        <v>34</v>
      </c>
      <c r="F803" t="str">
        <f>"0017328"</f>
        <v>0017328</v>
      </c>
      <c r="G803">
        <v>1</v>
      </c>
      <c r="H803" t="str">
        <f>"00000001"</f>
        <v>00000001</v>
      </c>
      <c r="I803" t="s">
        <v>35</v>
      </c>
      <c r="J803"/>
      <c r="K803">
        <v>72.88</v>
      </c>
      <c r="L803">
        <v>0.0</v>
      </c>
      <c r="M803"/>
      <c r="N803"/>
      <c r="O803">
        <v>13.12</v>
      </c>
      <c r="P803">
        <v>0.0</v>
      </c>
      <c r="Q803">
        <v>86.0</v>
      </c>
      <c r="R803"/>
      <c r="S803"/>
      <c r="T803"/>
      <c r="U803"/>
      <c r="V803"/>
      <c r="W803">
        <v>18</v>
      </c>
    </row>
    <row r="804" spans="1:23">
      <c r="A804"/>
      <c r="B804" t="s">
        <v>130</v>
      </c>
      <c r="C804" t="s">
        <v>130</v>
      </c>
      <c r="D804" t="s">
        <v>33</v>
      </c>
      <c r="E804" t="s">
        <v>34</v>
      </c>
      <c r="F804" t="str">
        <f>"0017329"</f>
        <v>0017329</v>
      </c>
      <c r="G804">
        <v>1</v>
      </c>
      <c r="H804" t="str">
        <f>"00000001"</f>
        <v>00000001</v>
      </c>
      <c r="I804" t="s">
        <v>35</v>
      </c>
      <c r="J804"/>
      <c r="K804">
        <v>16.95</v>
      </c>
      <c r="L804">
        <v>0.0</v>
      </c>
      <c r="M804"/>
      <c r="N804"/>
      <c r="O804">
        <v>3.05</v>
      </c>
      <c r="P804">
        <v>0.0</v>
      </c>
      <c r="Q804">
        <v>20.0</v>
      </c>
      <c r="R804"/>
      <c r="S804"/>
      <c r="T804"/>
      <c r="U804"/>
      <c r="V804"/>
      <c r="W804">
        <v>18</v>
      </c>
    </row>
    <row r="805" spans="1:23">
      <c r="A805"/>
      <c r="B805" t="s">
        <v>130</v>
      </c>
      <c r="C805" t="s">
        <v>130</v>
      </c>
      <c r="D805" t="s">
        <v>33</v>
      </c>
      <c r="E805" t="s">
        <v>34</v>
      </c>
      <c r="F805" t="str">
        <f>"0017330"</f>
        <v>0017330</v>
      </c>
      <c r="G805">
        <v>1</v>
      </c>
      <c r="H805" t="str">
        <f>"00000001"</f>
        <v>00000001</v>
      </c>
      <c r="I805" t="s">
        <v>35</v>
      </c>
      <c r="J805"/>
      <c r="K805">
        <v>42.37</v>
      </c>
      <c r="L805">
        <v>0.0</v>
      </c>
      <c r="M805"/>
      <c r="N805"/>
      <c r="O805">
        <v>7.63</v>
      </c>
      <c r="P805">
        <v>0.0</v>
      </c>
      <c r="Q805">
        <v>50.0</v>
      </c>
      <c r="R805"/>
      <c r="S805"/>
      <c r="T805"/>
      <c r="U805"/>
      <c r="V805"/>
      <c r="W805">
        <v>18</v>
      </c>
    </row>
    <row r="806" spans="1:23">
      <c r="A806"/>
      <c r="B806" t="s">
        <v>130</v>
      </c>
      <c r="C806" t="s">
        <v>130</v>
      </c>
      <c r="D806" t="s">
        <v>33</v>
      </c>
      <c r="E806" t="s">
        <v>34</v>
      </c>
      <c r="F806" t="str">
        <f>"0017331"</f>
        <v>0017331</v>
      </c>
      <c r="G806">
        <v>1</v>
      </c>
      <c r="H806" t="str">
        <f>"00000001"</f>
        <v>00000001</v>
      </c>
      <c r="I806" t="s">
        <v>35</v>
      </c>
      <c r="J806"/>
      <c r="K806">
        <v>18.64</v>
      </c>
      <c r="L806">
        <v>0.0</v>
      </c>
      <c r="M806"/>
      <c r="N806"/>
      <c r="O806">
        <v>3.36</v>
      </c>
      <c r="P806">
        <v>0.0</v>
      </c>
      <c r="Q806">
        <v>22.0</v>
      </c>
      <c r="R806"/>
      <c r="S806"/>
      <c r="T806"/>
      <c r="U806"/>
      <c r="V806"/>
      <c r="W806">
        <v>18</v>
      </c>
    </row>
    <row r="807" spans="1:23">
      <c r="A807"/>
      <c r="B807" t="s">
        <v>130</v>
      </c>
      <c r="C807" t="s">
        <v>130</v>
      </c>
      <c r="D807" t="s">
        <v>33</v>
      </c>
      <c r="E807" t="s">
        <v>34</v>
      </c>
      <c r="F807" t="str">
        <f>"0017332"</f>
        <v>0017332</v>
      </c>
      <c r="G807">
        <v>1</v>
      </c>
      <c r="H807" t="str">
        <f>"00000001"</f>
        <v>00000001</v>
      </c>
      <c r="I807" t="s">
        <v>35</v>
      </c>
      <c r="J807"/>
      <c r="K807">
        <v>10.17</v>
      </c>
      <c r="L807">
        <v>0.0</v>
      </c>
      <c r="M807"/>
      <c r="N807"/>
      <c r="O807">
        <v>1.83</v>
      </c>
      <c r="P807">
        <v>0.0</v>
      </c>
      <c r="Q807">
        <v>12.0</v>
      </c>
      <c r="R807"/>
      <c r="S807"/>
      <c r="T807"/>
      <c r="U807"/>
      <c r="V807"/>
      <c r="W807">
        <v>18</v>
      </c>
    </row>
    <row r="808" spans="1:23">
      <c r="A808"/>
      <c r="B808" t="s">
        <v>130</v>
      </c>
      <c r="C808" t="s">
        <v>130</v>
      </c>
      <c r="D808" t="s">
        <v>33</v>
      </c>
      <c r="E808" t="s">
        <v>34</v>
      </c>
      <c r="F808" t="str">
        <f>"0017333"</f>
        <v>0017333</v>
      </c>
      <c r="G808">
        <v>1</v>
      </c>
      <c r="H808" t="str">
        <f>"00000001"</f>
        <v>00000001</v>
      </c>
      <c r="I808" t="s">
        <v>35</v>
      </c>
      <c r="J808"/>
      <c r="K808">
        <v>61.02</v>
      </c>
      <c r="L808">
        <v>0.0</v>
      </c>
      <c r="M808"/>
      <c r="N808"/>
      <c r="O808">
        <v>10.98</v>
      </c>
      <c r="P808">
        <v>0.0</v>
      </c>
      <c r="Q808">
        <v>72.0</v>
      </c>
      <c r="R808"/>
      <c r="S808"/>
      <c r="T808"/>
      <c r="U808"/>
      <c r="V808"/>
      <c r="W808">
        <v>18</v>
      </c>
    </row>
    <row r="809" spans="1:23">
      <c r="A809"/>
      <c r="B809" t="s">
        <v>132</v>
      </c>
      <c r="C809" t="s">
        <v>132</v>
      </c>
      <c r="D809" t="s">
        <v>33</v>
      </c>
      <c r="E809" t="s">
        <v>34</v>
      </c>
      <c r="F809" t="str">
        <f>"0017334"</f>
        <v>0017334</v>
      </c>
      <c r="G809">
        <v>1</v>
      </c>
      <c r="H809" t="str">
        <f>"00000001"</f>
        <v>00000001</v>
      </c>
      <c r="I809" t="s">
        <v>35</v>
      </c>
      <c r="J809"/>
      <c r="K809">
        <v>51.71</v>
      </c>
      <c r="L809">
        <v>0.0</v>
      </c>
      <c r="M809"/>
      <c r="N809"/>
      <c r="O809">
        <v>9.31</v>
      </c>
      <c r="P809">
        <v>0.0</v>
      </c>
      <c r="Q809">
        <v>61.02</v>
      </c>
      <c r="R809"/>
      <c r="S809"/>
      <c r="T809"/>
      <c r="U809"/>
      <c r="V809"/>
      <c r="W809">
        <v>18</v>
      </c>
    </row>
    <row r="810" spans="1:23">
      <c r="A810"/>
      <c r="B810" t="s">
        <v>132</v>
      </c>
      <c r="C810" t="s">
        <v>132</v>
      </c>
      <c r="D810" t="s">
        <v>33</v>
      </c>
      <c r="E810" t="s">
        <v>34</v>
      </c>
      <c r="F810" t="str">
        <f>"0017335"</f>
        <v>0017335</v>
      </c>
      <c r="G810">
        <v>1</v>
      </c>
      <c r="H810" t="str">
        <f>"00000001"</f>
        <v>00000001</v>
      </c>
      <c r="I810" t="s">
        <v>35</v>
      </c>
      <c r="J810"/>
      <c r="K810">
        <v>61.02</v>
      </c>
      <c r="L810">
        <v>0.0</v>
      </c>
      <c r="M810"/>
      <c r="N810"/>
      <c r="O810">
        <v>10.98</v>
      </c>
      <c r="P810">
        <v>0.0</v>
      </c>
      <c r="Q810">
        <v>72.0</v>
      </c>
      <c r="R810"/>
      <c r="S810"/>
      <c r="T810"/>
      <c r="U810"/>
      <c r="V810"/>
      <c r="W810">
        <v>18</v>
      </c>
    </row>
    <row r="811" spans="1:23">
      <c r="A811"/>
      <c r="B811" t="s">
        <v>132</v>
      </c>
      <c r="C811" t="s">
        <v>132</v>
      </c>
      <c r="D811" t="s">
        <v>33</v>
      </c>
      <c r="E811" t="s">
        <v>34</v>
      </c>
      <c r="F811" t="str">
        <f>"0017336"</f>
        <v>0017336</v>
      </c>
      <c r="G811">
        <v>1</v>
      </c>
      <c r="H811" t="str">
        <f>"00000001"</f>
        <v>00000001</v>
      </c>
      <c r="I811" t="s">
        <v>35</v>
      </c>
      <c r="J811"/>
      <c r="K811">
        <v>32.2</v>
      </c>
      <c r="L811">
        <v>0.0</v>
      </c>
      <c r="M811"/>
      <c r="N811"/>
      <c r="O811">
        <v>5.8</v>
      </c>
      <c r="P811">
        <v>0.0</v>
      </c>
      <c r="Q811">
        <v>38.0</v>
      </c>
      <c r="R811"/>
      <c r="S811"/>
      <c r="T811"/>
      <c r="U811"/>
      <c r="V811"/>
      <c r="W811">
        <v>18</v>
      </c>
    </row>
    <row r="812" spans="1:23">
      <c r="A812"/>
      <c r="B812" t="s">
        <v>132</v>
      </c>
      <c r="C812" t="s">
        <v>132</v>
      </c>
      <c r="D812" t="s">
        <v>33</v>
      </c>
      <c r="E812" t="s">
        <v>34</v>
      </c>
      <c r="F812" t="str">
        <f>"0017337"</f>
        <v>0017337</v>
      </c>
      <c r="G812">
        <v>1</v>
      </c>
      <c r="H812" t="str">
        <f>"00000001"</f>
        <v>00000001</v>
      </c>
      <c r="I812" t="s">
        <v>35</v>
      </c>
      <c r="J812"/>
      <c r="K812">
        <v>21.19</v>
      </c>
      <c r="L812">
        <v>0.0</v>
      </c>
      <c r="M812"/>
      <c r="N812"/>
      <c r="O812">
        <v>3.81</v>
      </c>
      <c r="P812">
        <v>0.0</v>
      </c>
      <c r="Q812">
        <v>25.0</v>
      </c>
      <c r="R812"/>
      <c r="S812"/>
      <c r="T812"/>
      <c r="U812"/>
      <c r="V812"/>
      <c r="W812">
        <v>18</v>
      </c>
    </row>
    <row r="813" spans="1:23">
      <c r="A813"/>
      <c r="B813" t="s">
        <v>133</v>
      </c>
      <c r="C813" t="s">
        <v>133</v>
      </c>
      <c r="D813" t="s">
        <v>33</v>
      </c>
      <c r="E813" t="s">
        <v>34</v>
      </c>
      <c r="F813" t="str">
        <f>"0017338"</f>
        <v>0017338</v>
      </c>
      <c r="G813">
        <v>1</v>
      </c>
      <c r="H813" t="str">
        <f>"00000001"</f>
        <v>00000001</v>
      </c>
      <c r="I813" t="s">
        <v>35</v>
      </c>
      <c r="J813"/>
      <c r="K813">
        <v>16.95</v>
      </c>
      <c r="L813">
        <v>0.0</v>
      </c>
      <c r="M813"/>
      <c r="N813"/>
      <c r="O813">
        <v>3.05</v>
      </c>
      <c r="P813">
        <v>0.0</v>
      </c>
      <c r="Q813">
        <v>20.0</v>
      </c>
      <c r="R813"/>
      <c r="S813"/>
      <c r="T813"/>
      <c r="U813"/>
      <c r="V813"/>
      <c r="W813">
        <v>18</v>
      </c>
    </row>
    <row r="814" spans="1:23">
      <c r="A814"/>
      <c r="B814" t="s">
        <v>133</v>
      </c>
      <c r="C814" t="s">
        <v>133</v>
      </c>
      <c r="D814" t="s">
        <v>33</v>
      </c>
      <c r="E814" t="s">
        <v>34</v>
      </c>
      <c r="F814" t="str">
        <f>"0017339"</f>
        <v>0017339</v>
      </c>
      <c r="G814">
        <v>1</v>
      </c>
      <c r="H814" t="str">
        <f>"00000001"</f>
        <v>00000001</v>
      </c>
      <c r="I814" t="s">
        <v>35</v>
      </c>
      <c r="J814"/>
      <c r="K814">
        <v>9.32</v>
      </c>
      <c r="L814">
        <v>0.0</v>
      </c>
      <c r="M814"/>
      <c r="N814"/>
      <c r="O814">
        <v>1.68</v>
      </c>
      <c r="P814">
        <v>0.0</v>
      </c>
      <c r="Q814">
        <v>11.0</v>
      </c>
      <c r="R814"/>
      <c r="S814"/>
      <c r="T814"/>
      <c r="U814"/>
      <c r="V814"/>
      <c r="W814">
        <v>18</v>
      </c>
    </row>
    <row r="815" spans="1:23">
      <c r="A815"/>
      <c r="B815" t="s">
        <v>133</v>
      </c>
      <c r="C815" t="s">
        <v>133</v>
      </c>
      <c r="D815" t="s">
        <v>33</v>
      </c>
      <c r="E815" t="s">
        <v>34</v>
      </c>
      <c r="F815" t="str">
        <f>"0017340"</f>
        <v>0017340</v>
      </c>
      <c r="G815">
        <v>1</v>
      </c>
      <c r="H815" t="str">
        <f>"00000001"</f>
        <v>00000001</v>
      </c>
      <c r="I815" t="s">
        <v>35</v>
      </c>
      <c r="J815"/>
      <c r="K815">
        <v>12.71</v>
      </c>
      <c r="L815">
        <v>0.0</v>
      </c>
      <c r="M815"/>
      <c r="N815"/>
      <c r="O815">
        <v>2.29</v>
      </c>
      <c r="P815">
        <v>0.0</v>
      </c>
      <c r="Q815">
        <v>15.0</v>
      </c>
      <c r="R815"/>
      <c r="S815"/>
      <c r="T815"/>
      <c r="U815"/>
      <c r="V815"/>
      <c r="W815">
        <v>18</v>
      </c>
    </row>
    <row r="816" spans="1:23">
      <c r="A816"/>
      <c r="B816" t="s">
        <v>133</v>
      </c>
      <c r="C816" t="s">
        <v>133</v>
      </c>
      <c r="D816" t="s">
        <v>33</v>
      </c>
      <c r="E816" t="s">
        <v>34</v>
      </c>
      <c r="F816" t="str">
        <f>"0017341"</f>
        <v>0017341</v>
      </c>
      <c r="G816">
        <v>1</v>
      </c>
      <c r="H816" t="str">
        <f>"00000001"</f>
        <v>00000001</v>
      </c>
      <c r="I816" t="s">
        <v>35</v>
      </c>
      <c r="J816"/>
      <c r="K816">
        <v>9.32</v>
      </c>
      <c r="L816">
        <v>0.0</v>
      </c>
      <c r="M816"/>
      <c r="N816"/>
      <c r="O816">
        <v>1.68</v>
      </c>
      <c r="P816">
        <v>0.0</v>
      </c>
      <c r="Q816">
        <v>11.0</v>
      </c>
      <c r="R816"/>
      <c r="S816"/>
      <c r="T816"/>
      <c r="U816"/>
      <c r="V816"/>
      <c r="W816">
        <v>18</v>
      </c>
    </row>
    <row r="817" spans="1:23">
      <c r="A817"/>
      <c r="B817" t="s">
        <v>133</v>
      </c>
      <c r="C817" t="s">
        <v>133</v>
      </c>
      <c r="D817" t="s">
        <v>33</v>
      </c>
      <c r="E817" t="s">
        <v>34</v>
      </c>
      <c r="F817" t="str">
        <f>"0017342"</f>
        <v>0017342</v>
      </c>
      <c r="G817">
        <v>1</v>
      </c>
      <c r="H817" t="str">
        <f>"00000001"</f>
        <v>00000001</v>
      </c>
      <c r="I817" t="s">
        <v>35</v>
      </c>
      <c r="J817"/>
      <c r="K817">
        <v>20.34</v>
      </c>
      <c r="L817">
        <v>0.0</v>
      </c>
      <c r="M817"/>
      <c r="N817"/>
      <c r="O817">
        <v>3.66</v>
      </c>
      <c r="P817">
        <v>0.0</v>
      </c>
      <c r="Q817">
        <v>24.0</v>
      </c>
      <c r="R817"/>
      <c r="S817"/>
      <c r="T817"/>
      <c r="U817"/>
      <c r="V817"/>
      <c r="W817">
        <v>18</v>
      </c>
    </row>
    <row r="818" spans="1:23">
      <c r="A818"/>
      <c r="B818" t="s">
        <v>133</v>
      </c>
      <c r="C818" t="s">
        <v>133</v>
      </c>
      <c r="D818" t="s">
        <v>33</v>
      </c>
      <c r="E818" t="s">
        <v>34</v>
      </c>
      <c r="F818" t="str">
        <f>"0017343"</f>
        <v>0017343</v>
      </c>
      <c r="G818">
        <v>1</v>
      </c>
      <c r="H818" t="str">
        <f>"00000001"</f>
        <v>00000001</v>
      </c>
      <c r="I818" t="s">
        <v>35</v>
      </c>
      <c r="J818"/>
      <c r="K818">
        <v>25.0</v>
      </c>
      <c r="L818">
        <v>0.0</v>
      </c>
      <c r="M818"/>
      <c r="N818"/>
      <c r="O818">
        <v>4.5</v>
      </c>
      <c r="P818">
        <v>0.0</v>
      </c>
      <c r="Q818">
        <v>29.5</v>
      </c>
      <c r="R818"/>
      <c r="S818"/>
      <c r="T818"/>
      <c r="U818"/>
      <c r="V818"/>
      <c r="W818">
        <v>18</v>
      </c>
    </row>
    <row r="819" spans="1:23">
      <c r="A819"/>
      <c r="B819" t="s">
        <v>134</v>
      </c>
      <c r="C819" t="s">
        <v>134</v>
      </c>
      <c r="D819" t="s">
        <v>33</v>
      </c>
      <c r="E819" t="s">
        <v>34</v>
      </c>
      <c r="F819" t="str">
        <f>"0017344"</f>
        <v>0017344</v>
      </c>
      <c r="G819">
        <v>1</v>
      </c>
      <c r="H819" t="str">
        <f>"00000001"</f>
        <v>00000001</v>
      </c>
      <c r="I819" t="s">
        <v>35</v>
      </c>
      <c r="J819"/>
      <c r="K819">
        <v>73.73</v>
      </c>
      <c r="L819">
        <v>0.0</v>
      </c>
      <c r="M819"/>
      <c r="N819"/>
      <c r="O819">
        <v>13.27</v>
      </c>
      <c r="P819">
        <v>0.0</v>
      </c>
      <c r="Q819">
        <v>87.0</v>
      </c>
      <c r="R819"/>
      <c r="S819"/>
      <c r="T819"/>
      <c r="U819"/>
      <c r="V819"/>
      <c r="W819">
        <v>18</v>
      </c>
    </row>
    <row r="820" spans="1:23">
      <c r="A820"/>
      <c r="B820" t="s">
        <v>134</v>
      </c>
      <c r="C820" t="s">
        <v>134</v>
      </c>
      <c r="D820" t="s">
        <v>33</v>
      </c>
      <c r="E820" t="s">
        <v>34</v>
      </c>
      <c r="F820" t="str">
        <f>"0017345"</f>
        <v>0017345</v>
      </c>
      <c r="G820">
        <v>1</v>
      </c>
      <c r="H820" t="str">
        <f>"00000001"</f>
        <v>00000001</v>
      </c>
      <c r="I820" t="s">
        <v>35</v>
      </c>
      <c r="J820"/>
      <c r="K820">
        <v>6.36</v>
      </c>
      <c r="L820">
        <v>0.0</v>
      </c>
      <c r="M820"/>
      <c r="N820"/>
      <c r="O820">
        <v>1.14</v>
      </c>
      <c r="P820">
        <v>0.0</v>
      </c>
      <c r="Q820">
        <v>7.5</v>
      </c>
      <c r="R820"/>
      <c r="S820"/>
      <c r="T820"/>
      <c r="U820"/>
      <c r="V820"/>
      <c r="W820">
        <v>18</v>
      </c>
    </row>
    <row r="821" spans="1:23">
      <c r="A821"/>
      <c r="B821" t="s">
        <v>134</v>
      </c>
      <c r="C821" t="s">
        <v>134</v>
      </c>
      <c r="D821" t="s">
        <v>33</v>
      </c>
      <c r="E821" t="s">
        <v>34</v>
      </c>
      <c r="F821" t="str">
        <f>"0017346"</f>
        <v>0017346</v>
      </c>
      <c r="G821">
        <v>1</v>
      </c>
      <c r="H821" t="str">
        <f>"00000001"</f>
        <v>00000001</v>
      </c>
      <c r="I821" t="s">
        <v>35</v>
      </c>
      <c r="J821"/>
      <c r="K821">
        <v>381.36</v>
      </c>
      <c r="L821">
        <v>0.0</v>
      </c>
      <c r="M821"/>
      <c r="N821"/>
      <c r="O821">
        <v>68.64</v>
      </c>
      <c r="P821">
        <v>0.0</v>
      </c>
      <c r="Q821">
        <v>450.0</v>
      </c>
      <c r="R821"/>
      <c r="S821"/>
      <c r="T821"/>
      <c r="U821"/>
      <c r="V821"/>
      <c r="W821">
        <v>18</v>
      </c>
    </row>
    <row r="822" spans="1:23">
      <c r="A822"/>
      <c r="B822" t="s">
        <v>134</v>
      </c>
      <c r="C822" t="s">
        <v>134</v>
      </c>
      <c r="D822" t="s">
        <v>33</v>
      </c>
      <c r="E822" t="s">
        <v>34</v>
      </c>
      <c r="F822" t="str">
        <f>"0017347"</f>
        <v>0017347</v>
      </c>
      <c r="G822">
        <v>1</v>
      </c>
      <c r="H822" t="str">
        <f>"00000001"</f>
        <v>00000001</v>
      </c>
      <c r="I822" t="s">
        <v>35</v>
      </c>
      <c r="J822"/>
      <c r="K822">
        <v>20.34</v>
      </c>
      <c r="L822">
        <v>0.0</v>
      </c>
      <c r="M822"/>
      <c r="N822"/>
      <c r="O822">
        <v>3.66</v>
      </c>
      <c r="P822">
        <v>0.0</v>
      </c>
      <c r="Q822">
        <v>24.0</v>
      </c>
      <c r="R822"/>
      <c r="S822"/>
      <c r="T822"/>
      <c r="U822"/>
      <c r="V822"/>
      <c r="W822">
        <v>18</v>
      </c>
    </row>
    <row r="823" spans="1:23">
      <c r="A823"/>
      <c r="B823" t="s">
        <v>134</v>
      </c>
      <c r="C823" t="s">
        <v>134</v>
      </c>
      <c r="D823" t="s">
        <v>36</v>
      </c>
      <c r="E823" t="s">
        <v>37</v>
      </c>
      <c r="F823" t="str">
        <f>"0001398"</f>
        <v>0001398</v>
      </c>
      <c r="G823">
        <v>6</v>
      </c>
      <c r="H823" t="str">
        <f>"20512807411"</f>
        <v>20512807411</v>
      </c>
      <c r="I823" t="s">
        <v>113</v>
      </c>
      <c r="J823"/>
      <c r="K823">
        <v>144.07</v>
      </c>
      <c r="L823">
        <v>0.0</v>
      </c>
      <c r="M823"/>
      <c r="N823"/>
      <c r="O823">
        <v>25.93</v>
      </c>
      <c r="P823">
        <v>0.0</v>
      </c>
      <c r="Q823">
        <v>170.0</v>
      </c>
      <c r="R823"/>
      <c r="S823"/>
      <c r="T823"/>
      <c r="U823"/>
      <c r="V823"/>
      <c r="W823">
        <v>18</v>
      </c>
    </row>
    <row r="824" spans="1:23">
      <c r="A824"/>
      <c r="B824" t="s">
        <v>134</v>
      </c>
      <c r="C824" t="s">
        <v>134</v>
      </c>
      <c r="D824" t="s">
        <v>36</v>
      </c>
      <c r="E824" t="s">
        <v>37</v>
      </c>
      <c r="F824" t="str">
        <f>"0001399"</f>
        <v>0001399</v>
      </c>
      <c r="G824">
        <v>6</v>
      </c>
      <c r="H824" t="str">
        <f>"20614135566"</f>
        <v>20614135566</v>
      </c>
      <c r="I824" t="s">
        <v>135</v>
      </c>
      <c r="J824"/>
      <c r="K824">
        <v>83.05</v>
      </c>
      <c r="L824">
        <v>0.0</v>
      </c>
      <c r="M824"/>
      <c r="N824"/>
      <c r="O824">
        <v>14.95</v>
      </c>
      <c r="P824">
        <v>0.0</v>
      </c>
      <c r="Q824">
        <v>98.0</v>
      </c>
      <c r="R824"/>
      <c r="S824"/>
      <c r="T824"/>
      <c r="U824"/>
      <c r="V824"/>
      <c r="W824">
        <v>18</v>
      </c>
    </row>
    <row r="825" spans="1:23">
      <c r="A825"/>
      <c r="B825" t="s">
        <v>134</v>
      </c>
      <c r="C825" t="s">
        <v>134</v>
      </c>
      <c r="D825" t="s">
        <v>33</v>
      </c>
      <c r="E825" t="s">
        <v>34</v>
      </c>
      <c r="F825" t="str">
        <f>"0017348"</f>
        <v>0017348</v>
      </c>
      <c r="G825">
        <v>1</v>
      </c>
      <c r="H825" t="str">
        <f>"70652565"</f>
        <v>70652565</v>
      </c>
      <c r="I825" t="s">
        <v>87</v>
      </c>
      <c r="J825"/>
      <c r="K825">
        <v>3.39</v>
      </c>
      <c r="L825">
        <v>0.0</v>
      </c>
      <c r="M825"/>
      <c r="N825"/>
      <c r="O825">
        <v>0.61</v>
      </c>
      <c r="P825">
        <v>0.0</v>
      </c>
      <c r="Q825">
        <v>4.0</v>
      </c>
      <c r="R825"/>
      <c r="S825"/>
      <c r="T825"/>
      <c r="U825"/>
      <c r="V825"/>
      <c r="W825">
        <v>18</v>
      </c>
    </row>
    <row r="826" spans="1:23">
      <c r="A826"/>
      <c r="B826" t="s">
        <v>58</v>
      </c>
      <c r="C826" t="s">
        <v>58</v>
      </c>
      <c r="D826" t="s">
        <v>136</v>
      </c>
      <c r="E826" t="s">
        <v>34</v>
      </c>
      <c r="F826" t="str">
        <f>"0000145"</f>
        <v>0000145</v>
      </c>
      <c r="G826">
        <v>6</v>
      </c>
      <c r="H826" t="str">
        <f>"20610600787"</f>
        <v>20610600787</v>
      </c>
      <c r="I826" t="s">
        <v>55</v>
      </c>
      <c r="J826"/>
      <c r="K826">
        <v>-42.37</v>
      </c>
      <c r="L826">
        <v>0.0</v>
      </c>
      <c r="M826"/>
      <c r="N826"/>
      <c r="O826">
        <v>-7.63</v>
      </c>
      <c r="P826">
        <v>0.0</v>
      </c>
      <c r="Q826">
        <v>-50.0</v>
      </c>
      <c r="R826"/>
      <c r="S826" t="s">
        <v>58</v>
      </c>
      <c r="T826" t="s">
        <v>33</v>
      </c>
      <c r="U826" t="s">
        <v>34</v>
      </c>
      <c r="V826" t="s">
        <v>137</v>
      </c>
      <c r="W826">
        <v>18</v>
      </c>
    </row>
    <row r="827" spans="1:23">
      <c r="A827"/>
      <c r="B827" t="s">
        <v>58</v>
      </c>
      <c r="C827" t="s">
        <v>58</v>
      </c>
      <c r="D827" t="s">
        <v>136</v>
      </c>
      <c r="E827" t="s">
        <v>34</v>
      </c>
      <c r="F827" t="str">
        <f>"0000146"</f>
        <v>0000146</v>
      </c>
      <c r="G827">
        <v>6</v>
      </c>
      <c r="H827" t="str">
        <f>"20610600787"</f>
        <v>20610600787</v>
      </c>
      <c r="I827" t="s">
        <v>55</v>
      </c>
      <c r="J827"/>
      <c r="K827">
        <v>-42.37</v>
      </c>
      <c r="L827">
        <v>0.0</v>
      </c>
      <c r="M827"/>
      <c r="N827"/>
      <c r="O827">
        <v>-7.63</v>
      </c>
      <c r="P827">
        <v>0.0</v>
      </c>
      <c r="Q827">
        <v>-50.0</v>
      </c>
      <c r="R827"/>
      <c r="S827" t="s">
        <v>58</v>
      </c>
      <c r="T827" t="s">
        <v>33</v>
      </c>
      <c r="U827" t="s">
        <v>34</v>
      </c>
      <c r="V827" t="s">
        <v>138</v>
      </c>
      <c r="W827">
        <v>18</v>
      </c>
    </row>
    <row r="828" spans="1:23">
      <c r="A828"/>
      <c r="B828" t="s">
        <v>58</v>
      </c>
      <c r="C828" t="s">
        <v>58</v>
      </c>
      <c r="D828" t="s">
        <v>136</v>
      </c>
      <c r="E828" t="s">
        <v>34</v>
      </c>
      <c r="F828" t="str">
        <f>"0000147"</f>
        <v>0000147</v>
      </c>
      <c r="G828">
        <v>6</v>
      </c>
      <c r="H828" t="str">
        <f>"20610600787"</f>
        <v>20610600787</v>
      </c>
      <c r="I828" t="s">
        <v>55</v>
      </c>
      <c r="J828"/>
      <c r="K828">
        <v>-1.69</v>
      </c>
      <c r="L828">
        <v>0.0</v>
      </c>
      <c r="M828"/>
      <c r="N828"/>
      <c r="O828">
        <v>-0.31</v>
      </c>
      <c r="P828">
        <v>0.0</v>
      </c>
      <c r="Q828">
        <v>-2.0</v>
      </c>
      <c r="R828"/>
      <c r="S828" t="s">
        <v>58</v>
      </c>
      <c r="T828" t="s">
        <v>33</v>
      </c>
      <c r="U828" t="s">
        <v>34</v>
      </c>
      <c r="V828" t="s">
        <v>139</v>
      </c>
      <c r="W828">
        <v>18</v>
      </c>
    </row>
    <row r="829" spans="1:23">
      <c r="A829"/>
      <c r="B829" t="s">
        <v>58</v>
      </c>
      <c r="C829" t="s">
        <v>58</v>
      </c>
      <c r="D829" t="s">
        <v>136</v>
      </c>
      <c r="E829" t="s">
        <v>34</v>
      </c>
      <c r="F829" t="str">
        <f>"0000148"</f>
        <v>0000148</v>
      </c>
      <c r="G829">
        <v>1</v>
      </c>
      <c r="H829" t="str">
        <f>"00000001"</f>
        <v>00000001</v>
      </c>
      <c r="I829" t="s">
        <v>35</v>
      </c>
      <c r="J829"/>
      <c r="K829">
        <v>-42.37</v>
      </c>
      <c r="L829">
        <v>0.0</v>
      </c>
      <c r="M829"/>
      <c r="N829"/>
      <c r="O829">
        <v>-7.63</v>
      </c>
      <c r="P829">
        <v>0.0</v>
      </c>
      <c r="Q829">
        <v>-50.0</v>
      </c>
      <c r="R829"/>
      <c r="S829" t="s">
        <v>58</v>
      </c>
      <c r="T829" t="s">
        <v>33</v>
      </c>
      <c r="U829" t="s">
        <v>34</v>
      </c>
      <c r="V829" t="s">
        <v>140</v>
      </c>
      <c r="W829">
        <v>18</v>
      </c>
    </row>
    <row r="830" spans="1:23">
      <c r="A830"/>
      <c r="B830" t="s">
        <v>58</v>
      </c>
      <c r="C830" t="s">
        <v>58</v>
      </c>
      <c r="D830" t="s">
        <v>136</v>
      </c>
      <c r="E830" t="s">
        <v>34</v>
      </c>
      <c r="F830" t="str">
        <f>"0000149"</f>
        <v>0000149</v>
      </c>
      <c r="G830">
        <v>6</v>
      </c>
      <c r="H830" t="str">
        <f>"20610600787"</f>
        <v>20610600787</v>
      </c>
      <c r="I830" t="s">
        <v>55</v>
      </c>
      <c r="J830"/>
      <c r="K830">
        <v>-42.37</v>
      </c>
      <c r="L830">
        <v>0.0</v>
      </c>
      <c r="M830"/>
      <c r="N830"/>
      <c r="O830">
        <v>-7.63</v>
      </c>
      <c r="P830">
        <v>0.0</v>
      </c>
      <c r="Q830">
        <v>-50.0</v>
      </c>
      <c r="R830"/>
      <c r="S830" t="s">
        <v>58</v>
      </c>
      <c r="T830" t="s">
        <v>33</v>
      </c>
      <c r="U830" t="s">
        <v>34</v>
      </c>
      <c r="V830" t="s">
        <v>141</v>
      </c>
      <c r="W830">
        <v>18</v>
      </c>
    </row>
    <row r="831" spans="1:23">
      <c r="A831"/>
      <c r="B831" t="s">
        <v>58</v>
      </c>
      <c r="C831" t="s">
        <v>58</v>
      </c>
      <c r="D831" t="s">
        <v>136</v>
      </c>
      <c r="E831" t="s">
        <v>34</v>
      </c>
      <c r="F831" t="str">
        <f>"0000150"</f>
        <v>0000150</v>
      </c>
      <c r="G831">
        <v>6</v>
      </c>
      <c r="H831" t="str">
        <f>"20610600787"</f>
        <v>20610600787</v>
      </c>
      <c r="I831" t="s">
        <v>55</v>
      </c>
      <c r="J831"/>
      <c r="K831">
        <v>-42.37</v>
      </c>
      <c r="L831">
        <v>0.0</v>
      </c>
      <c r="M831"/>
      <c r="N831"/>
      <c r="O831">
        <v>-7.63</v>
      </c>
      <c r="P831">
        <v>0.0</v>
      </c>
      <c r="Q831">
        <v>-50.0</v>
      </c>
      <c r="R831"/>
      <c r="S831" t="s">
        <v>58</v>
      </c>
      <c r="T831" t="s">
        <v>33</v>
      </c>
      <c r="U831" t="s">
        <v>34</v>
      </c>
      <c r="V831" t="s">
        <v>142</v>
      </c>
      <c r="W831">
        <v>18</v>
      </c>
    </row>
    <row r="832" spans="1:23">
      <c r="A832"/>
      <c r="B832" t="s">
        <v>58</v>
      </c>
      <c r="C832" t="s">
        <v>58</v>
      </c>
      <c r="D832" t="s">
        <v>136</v>
      </c>
      <c r="E832" t="s">
        <v>34</v>
      </c>
      <c r="F832" t="str">
        <f>"0000151"</f>
        <v>0000151</v>
      </c>
      <c r="G832">
        <v>6</v>
      </c>
      <c r="H832" t="str">
        <f>"20610600787"</f>
        <v>20610600787</v>
      </c>
      <c r="I832" t="s">
        <v>55</v>
      </c>
      <c r="J832"/>
      <c r="K832">
        <v>-42.37</v>
      </c>
      <c r="L832">
        <v>0.0</v>
      </c>
      <c r="M832"/>
      <c r="N832"/>
      <c r="O832">
        <v>-7.63</v>
      </c>
      <c r="P832">
        <v>0.0</v>
      </c>
      <c r="Q832">
        <v>-50.0</v>
      </c>
      <c r="R832"/>
      <c r="S832" t="s">
        <v>58</v>
      </c>
      <c r="T832" t="s">
        <v>33</v>
      </c>
      <c r="U832" t="s">
        <v>34</v>
      </c>
      <c r="V832" t="s">
        <v>143</v>
      </c>
      <c r="W832">
        <v>18</v>
      </c>
    </row>
    <row r="833" spans="1:23">
      <c r="A833"/>
      <c r="B833" t="s">
        <v>58</v>
      </c>
      <c r="C833" t="s">
        <v>58</v>
      </c>
      <c r="D833" t="s">
        <v>136</v>
      </c>
      <c r="E833" t="s">
        <v>34</v>
      </c>
      <c r="F833" t="str">
        <f>"0000152"</f>
        <v>0000152</v>
      </c>
      <c r="G833">
        <v>6</v>
      </c>
      <c r="H833" t="str">
        <f>"20610600787"</f>
        <v>20610600787</v>
      </c>
      <c r="I833" t="s">
        <v>55</v>
      </c>
      <c r="J833"/>
      <c r="K833">
        <v>-42.37</v>
      </c>
      <c r="L833">
        <v>0.0</v>
      </c>
      <c r="M833"/>
      <c r="N833"/>
      <c r="O833">
        <v>-7.63</v>
      </c>
      <c r="P833">
        <v>0.0</v>
      </c>
      <c r="Q833">
        <v>-50.0</v>
      </c>
      <c r="R833"/>
      <c r="S833" t="s">
        <v>58</v>
      </c>
      <c r="T833" t="s">
        <v>33</v>
      </c>
      <c r="U833" t="s">
        <v>34</v>
      </c>
      <c r="V833" t="s">
        <v>144</v>
      </c>
      <c r="W833">
        <v>18</v>
      </c>
    </row>
    <row r="834" spans="1:23">
      <c r="A834"/>
      <c r="B834" t="s">
        <v>58</v>
      </c>
      <c r="C834" t="s">
        <v>58</v>
      </c>
      <c r="D834" t="s">
        <v>136</v>
      </c>
      <c r="E834" t="s">
        <v>34</v>
      </c>
      <c r="F834" t="str">
        <f>"0000153"</f>
        <v>0000153</v>
      </c>
      <c r="G834">
        <v>1</v>
      </c>
      <c r="H834" t="str">
        <f>"00000001"</f>
        <v>00000001</v>
      </c>
      <c r="I834" t="s">
        <v>35</v>
      </c>
      <c r="J834"/>
      <c r="K834">
        <v>-16.1</v>
      </c>
      <c r="L834">
        <v>0.0</v>
      </c>
      <c r="M834"/>
      <c r="N834"/>
      <c r="O834">
        <v>-2.9</v>
      </c>
      <c r="P834">
        <v>0.0</v>
      </c>
      <c r="Q834">
        <v>-19.0</v>
      </c>
      <c r="R834"/>
      <c r="S834" t="s">
        <v>58</v>
      </c>
      <c r="T834" t="s">
        <v>33</v>
      </c>
      <c r="U834" t="s">
        <v>34</v>
      </c>
      <c r="V834" t="s">
        <v>145</v>
      </c>
      <c r="W834">
        <v>18</v>
      </c>
    </row>
    <row r="835" spans="1:23">
      <c r="A835"/>
      <c r="B835" t="s">
        <v>58</v>
      </c>
      <c r="C835" t="s">
        <v>58</v>
      </c>
      <c r="D835" t="s">
        <v>136</v>
      </c>
      <c r="E835" t="s">
        <v>34</v>
      </c>
      <c r="F835" t="str">
        <f>"0000154"</f>
        <v>0000154</v>
      </c>
      <c r="G835">
        <v>6</v>
      </c>
      <c r="H835" t="str">
        <f>"20610600787"</f>
        <v>20610600787</v>
      </c>
      <c r="I835" t="s">
        <v>55</v>
      </c>
      <c r="J835"/>
      <c r="K835">
        <v>-13.56</v>
      </c>
      <c r="L835">
        <v>0.0</v>
      </c>
      <c r="M835"/>
      <c r="N835"/>
      <c r="O835">
        <v>-2.44</v>
      </c>
      <c r="P835">
        <v>0.0</v>
      </c>
      <c r="Q835">
        <v>-16.0</v>
      </c>
      <c r="R835"/>
      <c r="S835" t="s">
        <v>58</v>
      </c>
      <c r="T835" t="s">
        <v>33</v>
      </c>
      <c r="U835" t="s">
        <v>34</v>
      </c>
      <c r="V835" t="s">
        <v>146</v>
      </c>
      <c r="W835">
        <v>18</v>
      </c>
    </row>
    <row r="836" spans="1:23">
      <c r="A836"/>
      <c r="B836" t="s">
        <v>73</v>
      </c>
      <c r="C836" t="s">
        <v>73</v>
      </c>
      <c r="D836" t="s">
        <v>136</v>
      </c>
      <c r="E836" t="s">
        <v>34</v>
      </c>
      <c r="F836" t="str">
        <f>"0000155"</f>
        <v>0000155</v>
      </c>
      <c r="G836">
        <v>6</v>
      </c>
      <c r="H836" t="str">
        <f>"20613583107"</f>
        <v>20613583107</v>
      </c>
      <c r="I836" t="s">
        <v>74</v>
      </c>
      <c r="J836"/>
      <c r="K836">
        <v>-42.37</v>
      </c>
      <c r="L836">
        <v>0.0</v>
      </c>
      <c r="M836"/>
      <c r="N836"/>
      <c r="O836">
        <v>-7.63</v>
      </c>
      <c r="P836">
        <v>0.0</v>
      </c>
      <c r="Q836">
        <v>-50.0</v>
      </c>
      <c r="R836"/>
      <c r="S836" t="s">
        <v>73</v>
      </c>
      <c r="T836" t="s">
        <v>33</v>
      </c>
      <c r="U836" t="s">
        <v>34</v>
      </c>
      <c r="V836" t="s">
        <v>147</v>
      </c>
      <c r="W836">
        <v>18</v>
      </c>
    </row>
    <row r="837" spans="1:23">
      <c r="A837"/>
      <c r="B837" t="s">
        <v>73</v>
      </c>
      <c r="C837" t="s">
        <v>73</v>
      </c>
      <c r="D837" t="s">
        <v>136</v>
      </c>
      <c r="E837" t="s">
        <v>34</v>
      </c>
      <c r="F837" t="str">
        <f>"0000156"</f>
        <v>0000156</v>
      </c>
      <c r="G837">
        <v>1</v>
      </c>
      <c r="H837" t="str">
        <f>"00000001"</f>
        <v>00000001</v>
      </c>
      <c r="I837" t="s">
        <v>35</v>
      </c>
      <c r="J837"/>
      <c r="K837">
        <v>-27.12</v>
      </c>
      <c r="L837">
        <v>0.0</v>
      </c>
      <c r="M837"/>
      <c r="N837"/>
      <c r="O837">
        <v>-4.88</v>
      </c>
      <c r="P837">
        <v>0.0</v>
      </c>
      <c r="Q837">
        <v>-32.0</v>
      </c>
      <c r="R837"/>
      <c r="S837" t="s">
        <v>73</v>
      </c>
      <c r="T837" t="s">
        <v>33</v>
      </c>
      <c r="U837" t="s">
        <v>34</v>
      </c>
      <c r="V837" t="s">
        <v>148</v>
      </c>
      <c r="W837">
        <v>18</v>
      </c>
    </row>
    <row r="838" spans="1:23">
      <c r="A838"/>
      <c r="B838" t="s">
        <v>73</v>
      </c>
      <c r="C838" t="s">
        <v>73</v>
      </c>
      <c r="D838" t="s">
        <v>136</v>
      </c>
      <c r="E838" t="s">
        <v>34</v>
      </c>
      <c r="F838" t="str">
        <f>"0000157"</f>
        <v>0000157</v>
      </c>
      <c r="G838">
        <v>6</v>
      </c>
      <c r="H838" t="str">
        <f>"20610600787"</f>
        <v>20610600787</v>
      </c>
      <c r="I838" t="s">
        <v>55</v>
      </c>
      <c r="J838"/>
      <c r="K838">
        <v>-42.37</v>
      </c>
      <c r="L838">
        <v>0.0</v>
      </c>
      <c r="M838"/>
      <c r="N838"/>
      <c r="O838">
        <v>-7.63</v>
      </c>
      <c r="P838">
        <v>0.0</v>
      </c>
      <c r="Q838">
        <v>-50.0</v>
      </c>
      <c r="R838"/>
      <c r="S838" t="s">
        <v>73</v>
      </c>
      <c r="T838" t="s">
        <v>33</v>
      </c>
      <c r="U838" t="s">
        <v>34</v>
      </c>
      <c r="V838" t="s">
        <v>149</v>
      </c>
      <c r="W838">
        <v>18</v>
      </c>
    </row>
    <row r="839" spans="1:23">
      <c r="A839"/>
      <c r="B839" t="s">
        <v>73</v>
      </c>
      <c r="C839" t="s">
        <v>73</v>
      </c>
      <c r="D839" t="s">
        <v>136</v>
      </c>
      <c r="E839" t="s">
        <v>34</v>
      </c>
      <c r="F839" t="str">
        <f>"0000158"</f>
        <v>0000158</v>
      </c>
      <c r="G839">
        <v>6</v>
      </c>
      <c r="H839" t="str">
        <f>"20612250066"</f>
        <v>20612250066</v>
      </c>
      <c r="I839" t="s">
        <v>53</v>
      </c>
      <c r="J839"/>
      <c r="K839">
        <v>-42.37</v>
      </c>
      <c r="L839">
        <v>0.0</v>
      </c>
      <c r="M839"/>
      <c r="N839"/>
      <c r="O839">
        <v>-7.63</v>
      </c>
      <c r="P839">
        <v>0.0</v>
      </c>
      <c r="Q839">
        <v>-50.0</v>
      </c>
      <c r="R839"/>
      <c r="S839" t="s">
        <v>73</v>
      </c>
      <c r="T839" t="s">
        <v>33</v>
      </c>
      <c r="U839" t="s">
        <v>34</v>
      </c>
      <c r="V839" t="s">
        <v>150</v>
      </c>
      <c r="W839">
        <v>18</v>
      </c>
    </row>
    <row r="840" spans="1:23">
      <c r="A840"/>
      <c r="B840" t="s">
        <v>73</v>
      </c>
      <c r="C840" t="s">
        <v>73</v>
      </c>
      <c r="D840" t="s">
        <v>136</v>
      </c>
      <c r="E840" t="s">
        <v>34</v>
      </c>
      <c r="F840" t="str">
        <f>"0000159"</f>
        <v>0000159</v>
      </c>
      <c r="G840">
        <v>6</v>
      </c>
      <c r="H840" t="str">
        <f>"20610600787"</f>
        <v>20610600787</v>
      </c>
      <c r="I840" t="s">
        <v>55</v>
      </c>
      <c r="J840"/>
      <c r="K840">
        <v>-42.37</v>
      </c>
      <c r="L840">
        <v>0.0</v>
      </c>
      <c r="M840"/>
      <c r="N840"/>
      <c r="O840">
        <v>-7.63</v>
      </c>
      <c r="P840">
        <v>0.0</v>
      </c>
      <c r="Q840">
        <v>-50.0</v>
      </c>
      <c r="R840"/>
      <c r="S840" t="s">
        <v>73</v>
      </c>
      <c r="T840" t="s">
        <v>33</v>
      </c>
      <c r="U840" t="s">
        <v>34</v>
      </c>
      <c r="V840" t="s">
        <v>151</v>
      </c>
      <c r="W840">
        <v>18</v>
      </c>
    </row>
    <row r="841" spans="1:23">
      <c r="A841"/>
      <c r="B841" t="s">
        <v>84</v>
      </c>
      <c r="C841" t="s">
        <v>84</v>
      </c>
      <c r="D841" t="s">
        <v>136</v>
      </c>
      <c r="E841" t="s">
        <v>34</v>
      </c>
      <c r="F841" t="str">
        <f>"0000160"</f>
        <v>0000160</v>
      </c>
      <c r="G841">
        <v>6</v>
      </c>
      <c r="H841" t="str">
        <f>"20101298851"</f>
        <v>20101298851</v>
      </c>
      <c r="I841" t="s">
        <v>42</v>
      </c>
      <c r="J841"/>
      <c r="K841">
        <v>-8.47</v>
      </c>
      <c r="L841">
        <v>0.0</v>
      </c>
      <c r="M841"/>
      <c r="N841"/>
      <c r="O841">
        <v>-1.53</v>
      </c>
      <c r="P841">
        <v>0.0</v>
      </c>
      <c r="Q841">
        <v>-10.0</v>
      </c>
      <c r="R841"/>
      <c r="S841" t="s">
        <v>84</v>
      </c>
      <c r="T841" t="s">
        <v>33</v>
      </c>
      <c r="U841" t="s">
        <v>34</v>
      </c>
      <c r="V841" t="s">
        <v>152</v>
      </c>
      <c r="W841">
        <v>18</v>
      </c>
    </row>
    <row r="842" spans="1:23">
      <c r="A842"/>
      <c r="B842" t="s">
        <v>84</v>
      </c>
      <c r="C842" t="s">
        <v>84</v>
      </c>
      <c r="D842" t="s">
        <v>136</v>
      </c>
      <c r="E842" t="s">
        <v>37</v>
      </c>
      <c r="F842" t="str">
        <f>"0000032"</f>
        <v>0000032</v>
      </c>
      <c r="G842">
        <v>6</v>
      </c>
      <c r="H842" t="str">
        <f>"20212387755"</f>
        <v>20212387755</v>
      </c>
      <c r="I842" t="s">
        <v>90</v>
      </c>
      <c r="J842"/>
      <c r="K842">
        <v>-96.19</v>
      </c>
      <c r="L842">
        <v>0.0</v>
      </c>
      <c r="M842"/>
      <c r="N842"/>
      <c r="O842">
        <v>-17.31</v>
      </c>
      <c r="P842">
        <v>0.0</v>
      </c>
      <c r="Q842">
        <v>-113.5</v>
      </c>
      <c r="R842"/>
      <c r="S842" t="s">
        <v>84</v>
      </c>
      <c r="T842" t="s">
        <v>36</v>
      </c>
      <c r="U842" t="s">
        <v>37</v>
      </c>
      <c r="V842" t="s">
        <v>153</v>
      </c>
      <c r="W842">
        <v>18</v>
      </c>
    </row>
    <row r="843" spans="1:23">
      <c r="A843"/>
      <c r="B843" t="s">
        <v>84</v>
      </c>
      <c r="C843" t="s">
        <v>84</v>
      </c>
      <c r="D843" t="s">
        <v>136</v>
      </c>
      <c r="E843" t="s">
        <v>37</v>
      </c>
      <c r="F843" t="str">
        <f>"0000033"</f>
        <v>0000033</v>
      </c>
      <c r="G843">
        <v>6</v>
      </c>
      <c r="H843" t="str">
        <f>"20212387755"</f>
        <v>20212387755</v>
      </c>
      <c r="I843" t="s">
        <v>90</v>
      </c>
      <c r="J843"/>
      <c r="K843">
        <v>-130.08</v>
      </c>
      <c r="L843">
        <v>0.0</v>
      </c>
      <c r="M843"/>
      <c r="N843"/>
      <c r="O843">
        <v>-23.42</v>
      </c>
      <c r="P843">
        <v>0.0</v>
      </c>
      <c r="Q843">
        <v>-153.5</v>
      </c>
      <c r="R843"/>
      <c r="S843" t="s">
        <v>84</v>
      </c>
      <c r="T843" t="s">
        <v>36</v>
      </c>
      <c r="U843" t="s">
        <v>37</v>
      </c>
      <c r="V843" t="s">
        <v>154</v>
      </c>
      <c r="W843">
        <v>18</v>
      </c>
    </row>
    <row r="844" spans="1:23">
      <c r="A844"/>
      <c r="B844" t="s">
        <v>84</v>
      </c>
      <c r="C844" t="s">
        <v>84</v>
      </c>
      <c r="D844" t="s">
        <v>136</v>
      </c>
      <c r="E844" t="s">
        <v>37</v>
      </c>
      <c r="F844" t="str">
        <f>"0000034"</f>
        <v>0000034</v>
      </c>
      <c r="G844">
        <v>6</v>
      </c>
      <c r="H844" t="str">
        <f>"20101298851"</f>
        <v>20101298851</v>
      </c>
      <c r="I844" t="s">
        <v>42</v>
      </c>
      <c r="J844"/>
      <c r="K844">
        <v>-10.17</v>
      </c>
      <c r="L844">
        <v>0.0</v>
      </c>
      <c r="M844"/>
      <c r="N844"/>
      <c r="O844">
        <v>-1.83</v>
      </c>
      <c r="P844">
        <v>0.0</v>
      </c>
      <c r="Q844">
        <v>-12.0</v>
      </c>
      <c r="R844"/>
      <c r="S844" t="s">
        <v>84</v>
      </c>
      <c r="T844" t="s">
        <v>36</v>
      </c>
      <c r="U844" t="s">
        <v>37</v>
      </c>
      <c r="V844" t="s">
        <v>155</v>
      </c>
      <c r="W844">
        <v>18</v>
      </c>
    </row>
    <row r="845" spans="1:23">
      <c r="A845"/>
      <c r="B845" t="s">
        <v>95</v>
      </c>
      <c r="C845" t="s">
        <v>95</v>
      </c>
      <c r="D845" t="s">
        <v>136</v>
      </c>
      <c r="E845" t="s">
        <v>34</v>
      </c>
      <c r="F845" t="str">
        <f>"0000161"</f>
        <v>0000161</v>
      </c>
      <c r="G845">
        <v>6</v>
      </c>
      <c r="H845" t="str">
        <f>"20610600787"</f>
        <v>20610600787</v>
      </c>
      <c r="I845" t="s">
        <v>55</v>
      </c>
      <c r="J845"/>
      <c r="K845">
        <v>-42.37</v>
      </c>
      <c r="L845">
        <v>0.0</v>
      </c>
      <c r="M845"/>
      <c r="N845"/>
      <c r="O845">
        <v>-7.63</v>
      </c>
      <c r="P845">
        <v>0.0</v>
      </c>
      <c r="Q845">
        <v>-50.0</v>
      </c>
      <c r="R845"/>
      <c r="S845" t="s">
        <v>92</v>
      </c>
      <c r="T845" t="s">
        <v>33</v>
      </c>
      <c r="U845" t="s">
        <v>34</v>
      </c>
      <c r="V845" t="s">
        <v>156</v>
      </c>
      <c r="W845">
        <v>18</v>
      </c>
    </row>
    <row r="846" spans="1:23">
      <c r="A846"/>
      <c r="B846" t="s">
        <v>95</v>
      </c>
      <c r="C846" t="s">
        <v>95</v>
      </c>
      <c r="D846" t="s">
        <v>136</v>
      </c>
      <c r="E846" t="s">
        <v>34</v>
      </c>
      <c r="F846" t="str">
        <f>"0000162"</f>
        <v>0000162</v>
      </c>
      <c r="G846">
        <v>6</v>
      </c>
      <c r="H846" t="str">
        <f>"20608473174"</f>
        <v>20608473174</v>
      </c>
      <c r="I846" t="s">
        <v>59</v>
      </c>
      <c r="J846"/>
      <c r="K846">
        <v>-42.37</v>
      </c>
      <c r="L846">
        <v>0.0</v>
      </c>
      <c r="M846"/>
      <c r="N846"/>
      <c r="O846">
        <v>-7.63</v>
      </c>
      <c r="P846">
        <v>0.0</v>
      </c>
      <c r="Q846">
        <v>-50.0</v>
      </c>
      <c r="R846"/>
      <c r="S846" t="s">
        <v>58</v>
      </c>
      <c r="T846" t="s">
        <v>33</v>
      </c>
      <c r="U846" t="s">
        <v>34</v>
      </c>
      <c r="V846" t="s">
        <v>157</v>
      </c>
      <c r="W846">
        <v>18</v>
      </c>
    </row>
    <row r="847" spans="1:23">
      <c r="A847"/>
      <c r="B847" t="s">
        <v>98</v>
      </c>
      <c r="C847" t="s">
        <v>98</v>
      </c>
      <c r="D847" t="s">
        <v>136</v>
      </c>
      <c r="E847" t="s">
        <v>34</v>
      </c>
      <c r="F847" t="str">
        <f>"0000163"</f>
        <v>0000163</v>
      </c>
      <c r="G847">
        <v>6</v>
      </c>
      <c r="H847" t="str">
        <f>"20612701548"</f>
        <v>20612701548</v>
      </c>
      <c r="I847" t="s">
        <v>75</v>
      </c>
      <c r="J847"/>
      <c r="K847">
        <v>-42.37</v>
      </c>
      <c r="L847">
        <v>0.0</v>
      </c>
      <c r="M847"/>
      <c r="N847"/>
      <c r="O847">
        <v>-7.63</v>
      </c>
      <c r="P847">
        <v>0.0</v>
      </c>
      <c r="Q847">
        <v>-50.0</v>
      </c>
      <c r="R847"/>
      <c r="S847" t="s">
        <v>73</v>
      </c>
      <c r="T847" t="s">
        <v>33</v>
      </c>
      <c r="U847" t="s">
        <v>34</v>
      </c>
      <c r="V847" t="s">
        <v>158</v>
      </c>
      <c r="W847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2026-01-09T13:40:38+00:00</dcterms:created>
  <dcterms:modified xsi:type="dcterms:W3CDTF">2026-01-09T13:40:38+00:00</dcterms:modified>
  <dc:title>Untitled Spreadsheet</dc:title>
  <dc:description/>
  <dc:subject/>
  <cp:keywords/>
  <cp:category/>
</cp:coreProperties>
</file>