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<sst xmlns="http://schemas.openxmlformats.org/spreadsheetml/2006/main" uniqueCount="148">
  <si>
    <t>REPORTE DE VENTAS</t>
  </si>
  <si>
    <t>FECHA DE REPORTE:</t>
  </si>
  <si>
    <t>08/10/2025</t>
  </si>
  <si>
    <t>CRITERIO DE FILTRO:</t>
  </si>
  <si>
    <t>RANGO DE FECHAS:</t>
  </si>
  <si>
    <t>Desde 01/09/2025 hasta 30/09/2025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</si>
  <si>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</si>
  <si>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</si>
  <si>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</si>
  <si>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</si>
  <si>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</si>
  <si>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</si>
  <si>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</si>
  <si>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</si>
  <si>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</si>
  <si>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</si>
  <si>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</si>
  <si>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</si>
  <si>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</si>
  <si>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</si>
  <si>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</si>
  <si>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</si>
  <si>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</si>
  <si>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</si>
  <si>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</si>
  <si>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</si>
  <si>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</si>
  <si>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</si>
  <si>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</si>
  <si>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</si>
  <si>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</si>
  <si>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</si>
  <si>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01/09/2025</t>
  </si>
  <si>
    <t>03</t>
  </si>
  <si>
    <t>B001</t>
  </si>
  <si>
    <t>PUBLICO</t>
  </si>
  <si>
    <t>CLÃNICA SANTA MARÃA</t>
  </si>
  <si>
    <t xml:space="preserve">I.E.I NÂ°390 NUESTRA SEÃORA DE LOURDES </t>
  </si>
  <si>
    <t>02/09/2025</t>
  </si>
  <si>
    <t>3 AÃOS A ROSALES DE JESUS</t>
  </si>
  <si>
    <t>01</t>
  </si>
  <si>
    <t>F001</t>
  </si>
  <si>
    <t>COOPERATIVA DE AHORRO Y CREDITO TODOS LOS SANTOS DE CHOTA LTDA 560</t>
  </si>
  <si>
    <t>YOSIMAR IDROGO MEJIA</t>
  </si>
  <si>
    <t>03/09/2025</t>
  </si>
  <si>
    <t xml:space="preserve">ASOCIACION SERVICIO ENSEÃANZA Y DESARROLLO DE ACCION SOCIAL  </t>
  </si>
  <si>
    <t>I.E. NÂ°712 UNIDAD VECINAL</t>
  </si>
  <si>
    <t>BILLY CHAVEZ PAISIG</t>
  </si>
  <si>
    <t>JESSY INOSTROZA ORTIZ</t>
  </si>
  <si>
    <t>04/09/2025</t>
  </si>
  <si>
    <t xml:space="preserve">CETPRO BAMBAMARCA </t>
  </si>
  <si>
    <t>COMPARTAMOS BANCO S.A.</t>
  </si>
  <si>
    <t>05/09/2025</t>
  </si>
  <si>
    <t>MIFARMA S.A.C.</t>
  </si>
  <si>
    <t>RAPID LA PERU S.A.C.</t>
  </si>
  <si>
    <t>06/09/2025</t>
  </si>
  <si>
    <t>ASOCIACION BETHEL</t>
  </si>
  <si>
    <t>07/09/2025</t>
  </si>
  <si>
    <t>CASTILLO SANCHEZ FRANK REILLY</t>
  </si>
  <si>
    <t>EDGAR JHAN MAICOL  MONTENEGRO AGUILAR</t>
  </si>
  <si>
    <t>08/09/2025</t>
  </si>
  <si>
    <t>EMPRESA DE SERVICIOS MULTIPLES CRECE CAJAMARCA S.A.C.</t>
  </si>
  <si>
    <t>GLICERIO VILLANUEVA MEDINA</t>
  </si>
  <si>
    <t>MARILU CAMPOS MALCA</t>
  </si>
  <si>
    <t>CEBA SAN CARLOS</t>
  </si>
  <si>
    <t>09/09/2025</t>
  </si>
  <si>
    <t>I.E NUESTRA SEÃORA DE LOURDES 390</t>
  </si>
  <si>
    <t>390 NUESTRA SEÃORA DEL LOURDES 4 AÃOS C</t>
  </si>
  <si>
    <t>MIRIAN JHOANA SAUCEDO DE LA CRUZ</t>
  </si>
  <si>
    <t xml:space="preserve">I.E.NÂ° 82661 NUETRA SEÃORA DE LOURDES 6Â° GRADO A </t>
  </si>
  <si>
    <t>10/09/2025</t>
  </si>
  <si>
    <t>MARY TIRADO</t>
  </si>
  <si>
    <t xml:space="preserve">Mavila Hilas Ruiz </t>
  </si>
  <si>
    <t>Rosa Quispe Manrique</t>
  </si>
  <si>
    <t>MESA DE PLATA INGENIEROS SOCIEDAD COMERCIAL DE RESPONSABILIDAD LIMITADA</t>
  </si>
  <si>
    <t>11/09/2025</t>
  </si>
  <si>
    <t>AUDITORES &amp; CONSULTORES MONJA Y GONZALES S.A.C.</t>
  </si>
  <si>
    <t>FONDO DE CREDITO PARA DESAR AGROFORESTAL</t>
  </si>
  <si>
    <t>JEHOVA NISSI - 0567</t>
  </si>
  <si>
    <t>12/09/2025</t>
  </si>
  <si>
    <t xml:space="preserve">PROMESA DE JEHOVA-APAN BAJO </t>
  </si>
  <si>
    <t>UNIDAD EJECUTORA SALUD HUALGAYOC - BAMBAMARCA</t>
  </si>
  <si>
    <t>PRÃNCIPE DE PAZ - BAMBAMARCA</t>
  </si>
  <si>
    <t>13/09/2025</t>
  </si>
  <si>
    <t xml:space="preserve">MIRIAN </t>
  </si>
  <si>
    <t>HERMANAS DOMINICAS</t>
  </si>
  <si>
    <t>CALERA BENDICION DE DIOS EMPRESA INDIVIDUAL DE RESPONSABILIDAD LIMITADA</t>
  </si>
  <si>
    <t>14/09/2025</t>
  </si>
  <si>
    <t>ARWIN TERRONEZ ESPINOZA</t>
  </si>
  <si>
    <t>GRICERIO VILAS MEDINA</t>
  </si>
  <si>
    <t>15/09/2025</t>
  </si>
  <si>
    <t>MUNICIPALIDAD PROVINCIAL DE HUALGAYOC</t>
  </si>
  <si>
    <t>CINTIA URIARTE</t>
  </si>
  <si>
    <t>16/09/2025</t>
  </si>
  <si>
    <t>I.E. NUESTRA SEÃORA DE LOURDES</t>
  </si>
  <si>
    <t>I.E.NUESTRA SEÃORA DE LOURDES</t>
  </si>
  <si>
    <t>I.E NUESTRA SEÃORA DE LOURDES PRIMERA COMUNION</t>
  </si>
  <si>
    <t xml:space="preserve">Teofilo Cruzado Rojas </t>
  </si>
  <si>
    <t>17/09/2025</t>
  </si>
  <si>
    <t>CONECTA RETAIL S.A.</t>
  </si>
  <si>
    <t>I.E.NÂ°82662 TALLAMACA</t>
  </si>
  <si>
    <t>18/09/2025</t>
  </si>
  <si>
    <t>19/09/2025</t>
  </si>
  <si>
    <t>JOCSAN MISAEL SAUCEDO RUIZ- 44</t>
  </si>
  <si>
    <t>ASOCIACION GRACIA DIVINA</t>
  </si>
  <si>
    <t>INSTITUTO NACIONAL DE ESTAD. E INFORMATI</t>
  </si>
  <si>
    <t>HECTOR FERNANDO AGUILAR VASQUES</t>
  </si>
  <si>
    <t>INGETROL COMERCIAL S.A.C.</t>
  </si>
  <si>
    <t>20/09/2025</t>
  </si>
  <si>
    <t>MAHADI S.A.C</t>
  </si>
  <si>
    <t>21/09/2025</t>
  </si>
  <si>
    <t>Leidy Yakel MarÃ­n Caruajulca</t>
  </si>
  <si>
    <t xml:space="preserve">Gerson Tirado Blanco </t>
  </si>
  <si>
    <t>22/09/2025</t>
  </si>
  <si>
    <t>MYP CONTRATA &amp; EJECUTA S.A.C.</t>
  </si>
  <si>
    <t>I.E. NUESTRA SEÃORA DE LOURDES- PRIMERO B</t>
  </si>
  <si>
    <t>SARAI RIMARACHIN TERAN</t>
  </si>
  <si>
    <t>I.E. 82934- TOTORAMAYO</t>
  </si>
  <si>
    <t>23/09/2025</t>
  </si>
  <si>
    <t>TRANSPARENCIA INTEGRAL DE DESARROLLO SRL</t>
  </si>
  <si>
    <t>CONSULTORIA E INGENIERIA INTEGRAL MEC EIRL</t>
  </si>
  <si>
    <t>24/09/2025</t>
  </si>
  <si>
    <t>25/09/2025</t>
  </si>
  <si>
    <t>INSTITUCIÃN EDUCATIVA 82662</t>
  </si>
  <si>
    <t>CARITO GUEVARA HUAMAN</t>
  </si>
  <si>
    <t>UN ACUERDO CON ARMONIA</t>
  </si>
  <si>
    <t>I.E. SAN CARLOS - BAMBAMARCA</t>
  </si>
  <si>
    <t>MUNICIPALIDAD DE CENTRO POBLADO DE MORAN PATA</t>
  </si>
  <si>
    <t>I.E. DIVINO CORAZON DE JESUS- CASERIO CUMBE CHONTABAMBA</t>
  </si>
  <si>
    <t>GRUPO AMISTAD</t>
  </si>
  <si>
    <t>26/09/2025</t>
  </si>
  <si>
    <t>ELI MEDINA BUENO</t>
  </si>
  <si>
    <t>I.E. NÂ° 82661 NUESTRA SEÃORA DE LOURDES</t>
  </si>
  <si>
    <t>27/09/2025</t>
  </si>
  <si>
    <t>SIGMA VISION CHOTA SAC</t>
  </si>
  <si>
    <t>28/09/2025</t>
  </si>
  <si>
    <t>Antoni Cruzado Tirado</t>
  </si>
  <si>
    <t>I.E 727 PAMPA  GRANDE</t>
  </si>
  <si>
    <t>29/09/2025</t>
  </si>
  <si>
    <t>TIRADO SAUCEDO YON VICTOR ALDERXON</t>
  </si>
  <si>
    <t>CINTIA CERCADO CHAVEZ</t>
  </si>
  <si>
    <t>WILDER CERCADO</t>
  </si>
  <si>
    <t>30/09/2025</t>
  </si>
  <si>
    <t>INSTITUCION EDUCATIVA VICTOR RAUL HAYA DE  LA TORRE</t>
  </si>
  <si>
    <t>07</t>
  </si>
  <si>
    <t>0014129</t>
  </si>
  <si>
    <t>0014439</t>
  </si>
  <si>
    <t>0014681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</si>
</sst>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33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"0013659"</f>
        <v>0013659</v>
      </c>
      <c r="G8">
        <v>1</v>
      </c>
      <c r="H8" t="str">
        <f>"00000001"</f>
        <v>00000001</v>
      </c>
      <c r="I8" t="s">
        <v>35</v>
      </c>
      <c r="J8"/>
      <c r="K8">
        <v>6.78</v>
      </c>
      <c r="L8">
        <v>0.0</v>
      </c>
      <c r="M8"/>
      <c r="N8"/>
      <c r="O8">
        <v>1.22</v>
      </c>
      <c r="P8">
        <v>0.0</v>
      </c>
      <c r="Q8">
        <v>8.0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"0013660"</f>
        <v>0013660</v>
      </c>
      <c r="G9">
        <v>1</v>
      </c>
      <c r="H9" t="str">
        <f>"72467243"</f>
        <v>72467243</v>
      </c>
      <c r="I9" t="s">
        <v>36</v>
      </c>
      <c r="J9"/>
      <c r="K9">
        <v>8.47</v>
      </c>
      <c r="L9">
        <v>0.0</v>
      </c>
      <c r="M9"/>
      <c r="N9"/>
      <c r="O9">
        <v>1.53</v>
      </c>
      <c r="P9">
        <v>0.0</v>
      </c>
      <c r="Q9">
        <v>10.0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"0013661"</f>
        <v>0013661</v>
      </c>
      <c r="G10">
        <v>1</v>
      </c>
      <c r="H10" t="str">
        <f>"00000001"</f>
        <v>00000001</v>
      </c>
      <c r="I10" t="s">
        <v>35</v>
      </c>
      <c r="J10"/>
      <c r="K10">
        <v>30.51</v>
      </c>
      <c r="L10">
        <v>0.0</v>
      </c>
      <c r="M10"/>
      <c r="N10"/>
      <c r="O10">
        <v>5.49</v>
      </c>
      <c r="P10">
        <v>0.0</v>
      </c>
      <c r="Q10">
        <v>36.0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"0013662"</f>
        <v>0013662</v>
      </c>
      <c r="G11">
        <v>1</v>
      </c>
      <c r="H11" t="str">
        <f>"00000001"</f>
        <v>00000001</v>
      </c>
      <c r="I11" t="s">
        <v>35</v>
      </c>
      <c r="J11"/>
      <c r="K11">
        <v>8.9</v>
      </c>
      <c r="L11">
        <v>0.0</v>
      </c>
      <c r="M11"/>
      <c r="N11"/>
      <c r="O11">
        <v>1.6</v>
      </c>
      <c r="P11">
        <v>0.0</v>
      </c>
      <c r="Q11">
        <v>10.5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"0013663"</f>
        <v>0013663</v>
      </c>
      <c r="G12">
        <v>1</v>
      </c>
      <c r="H12" t="str">
        <f>"00000001"</f>
        <v>00000001</v>
      </c>
      <c r="I12" t="s">
        <v>35</v>
      </c>
      <c r="J12"/>
      <c r="K12">
        <v>27.88</v>
      </c>
      <c r="L12">
        <v>0.0</v>
      </c>
      <c r="M12"/>
      <c r="N12"/>
      <c r="O12">
        <v>5.02</v>
      </c>
      <c r="P12">
        <v>0.0</v>
      </c>
      <c r="Q12">
        <v>32.9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"0013664"</f>
        <v>0013664</v>
      </c>
      <c r="G13">
        <v>1</v>
      </c>
      <c r="H13" t="str">
        <f>"00000001"</f>
        <v>00000001</v>
      </c>
      <c r="I13" t="s">
        <v>35</v>
      </c>
      <c r="J13"/>
      <c r="K13">
        <v>16.74</v>
      </c>
      <c r="L13">
        <v>0.0</v>
      </c>
      <c r="M13"/>
      <c r="N13"/>
      <c r="O13">
        <v>3.01</v>
      </c>
      <c r="P13">
        <v>0.0</v>
      </c>
      <c r="Q13">
        <v>19.75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"0013665"</f>
        <v>0013665</v>
      </c>
      <c r="G14">
        <v>1</v>
      </c>
      <c r="H14" t="str">
        <f>"00000001"</f>
        <v>00000001</v>
      </c>
      <c r="I14" t="s">
        <v>35</v>
      </c>
      <c r="J14"/>
      <c r="K14">
        <v>12.71</v>
      </c>
      <c r="L14">
        <v>0.0</v>
      </c>
      <c r="M14"/>
      <c r="N14"/>
      <c r="O14">
        <v>2.29</v>
      </c>
      <c r="P14">
        <v>0.0</v>
      </c>
      <c r="Q14">
        <v>15.0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"0013666"</f>
        <v>0013666</v>
      </c>
      <c r="G15">
        <v>1</v>
      </c>
      <c r="H15" t="str">
        <f>"00000001"</f>
        <v>00000001</v>
      </c>
      <c r="I15" t="s">
        <v>35</v>
      </c>
      <c r="J15"/>
      <c r="K15">
        <v>13.56</v>
      </c>
      <c r="L15">
        <v>0.0</v>
      </c>
      <c r="M15"/>
      <c r="N15"/>
      <c r="O15">
        <v>2.44</v>
      </c>
      <c r="P15">
        <v>0.0</v>
      </c>
      <c r="Q15">
        <v>16.0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"0013667"</f>
        <v>0013667</v>
      </c>
      <c r="G16">
        <v>1</v>
      </c>
      <c r="H16" t="str">
        <f>"00000001"</f>
        <v>00000001</v>
      </c>
      <c r="I16" t="s">
        <v>35</v>
      </c>
      <c r="J16"/>
      <c r="K16">
        <v>2.97</v>
      </c>
      <c r="L16">
        <v>0.0</v>
      </c>
      <c r="M16"/>
      <c r="N16"/>
      <c r="O16">
        <v>0.53</v>
      </c>
      <c r="P16">
        <v>0.0</v>
      </c>
      <c r="Q16">
        <v>3.5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"0013668"</f>
        <v>0013668</v>
      </c>
      <c r="G17">
        <v>1</v>
      </c>
      <c r="H17" t="str">
        <f>"00000001"</f>
        <v>00000001</v>
      </c>
      <c r="I17" t="s">
        <v>35</v>
      </c>
      <c r="J17"/>
      <c r="K17">
        <v>2.54</v>
      </c>
      <c r="L17">
        <v>0.0</v>
      </c>
      <c r="M17"/>
      <c r="N17"/>
      <c r="O17">
        <v>0.46</v>
      </c>
      <c r="P17">
        <v>0.0</v>
      </c>
      <c r="Q17">
        <v>3.0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"0013669"</f>
        <v>0013669</v>
      </c>
      <c r="G18">
        <v>1</v>
      </c>
      <c r="H18" t="str">
        <f>"00000001"</f>
        <v>00000001</v>
      </c>
      <c r="I18" t="s">
        <v>35</v>
      </c>
      <c r="J18"/>
      <c r="K18">
        <v>6.78</v>
      </c>
      <c r="L18">
        <v>0.0</v>
      </c>
      <c r="M18"/>
      <c r="N18"/>
      <c r="O18">
        <v>1.22</v>
      </c>
      <c r="P18">
        <v>0.0</v>
      </c>
      <c r="Q18">
        <v>8.0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"0013670"</f>
        <v>0013670</v>
      </c>
      <c r="G19">
        <v>1</v>
      </c>
      <c r="H19" t="str">
        <f>"00000001"</f>
        <v>00000001</v>
      </c>
      <c r="I19" t="s">
        <v>35</v>
      </c>
      <c r="J19"/>
      <c r="K19">
        <v>10.17</v>
      </c>
      <c r="L19">
        <v>0.0</v>
      </c>
      <c r="M19"/>
      <c r="N19"/>
      <c r="O19">
        <v>1.83</v>
      </c>
      <c r="P19">
        <v>0.0</v>
      </c>
      <c r="Q19">
        <v>12.0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"0013671"</f>
        <v>0013671</v>
      </c>
      <c r="G20">
        <v>1</v>
      </c>
      <c r="H20" t="str">
        <f>"00000001"</f>
        <v>00000001</v>
      </c>
      <c r="I20" t="s">
        <v>35</v>
      </c>
      <c r="J20"/>
      <c r="K20">
        <v>5.08</v>
      </c>
      <c r="L20">
        <v>0.0</v>
      </c>
      <c r="M20"/>
      <c r="N20"/>
      <c r="O20">
        <v>0.92</v>
      </c>
      <c r="P20">
        <v>0.0</v>
      </c>
      <c r="Q20">
        <v>6.0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"0013672"</f>
        <v>0013672</v>
      </c>
      <c r="G21">
        <v>1</v>
      </c>
      <c r="H21" t="str">
        <f>"00000001"</f>
        <v>00000001</v>
      </c>
      <c r="I21" t="s">
        <v>35</v>
      </c>
      <c r="J21"/>
      <c r="K21">
        <v>8.49</v>
      </c>
      <c r="L21">
        <v>0.0</v>
      </c>
      <c r="M21"/>
      <c r="N21"/>
      <c r="O21">
        <v>1.53</v>
      </c>
      <c r="P21">
        <v>0.0</v>
      </c>
      <c r="Q21">
        <v>10.02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"0013673"</f>
        <v>0013673</v>
      </c>
      <c r="G22">
        <v>1</v>
      </c>
      <c r="H22" t="str">
        <f>"00000001"</f>
        <v>00000001</v>
      </c>
      <c r="I22" t="s">
        <v>35</v>
      </c>
      <c r="J22"/>
      <c r="K22">
        <v>4.24</v>
      </c>
      <c r="L22">
        <v>0.0</v>
      </c>
      <c r="M22"/>
      <c r="N22"/>
      <c r="O22">
        <v>0.76</v>
      </c>
      <c r="P22">
        <v>0.0</v>
      </c>
      <c r="Q22">
        <v>5.0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"0013674"</f>
        <v>0013674</v>
      </c>
      <c r="G23">
        <v>1</v>
      </c>
      <c r="H23" t="str">
        <f>"00000001"</f>
        <v>00000001</v>
      </c>
      <c r="I23" t="s">
        <v>35</v>
      </c>
      <c r="J23"/>
      <c r="K23">
        <v>50.59</v>
      </c>
      <c r="L23">
        <v>0.0</v>
      </c>
      <c r="M23"/>
      <c r="N23"/>
      <c r="O23">
        <v>9.11</v>
      </c>
      <c r="P23">
        <v>0.0</v>
      </c>
      <c r="Q23">
        <v>59.7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"0013675"</f>
        <v>0013675</v>
      </c>
      <c r="G24">
        <v>1</v>
      </c>
      <c r="H24" t="str">
        <f>"00000001"</f>
        <v>00000001</v>
      </c>
      <c r="I24" t="s">
        <v>35</v>
      </c>
      <c r="J24"/>
      <c r="K24">
        <v>11.44</v>
      </c>
      <c r="L24">
        <v>0.0</v>
      </c>
      <c r="M24"/>
      <c r="N24"/>
      <c r="O24">
        <v>2.06</v>
      </c>
      <c r="P24">
        <v>0.0</v>
      </c>
      <c r="Q24">
        <v>13.5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"0013676"</f>
        <v>0013676</v>
      </c>
      <c r="G25">
        <v>1</v>
      </c>
      <c r="H25" t="str">
        <f>"00000001"</f>
        <v>00000001</v>
      </c>
      <c r="I25" t="s">
        <v>35</v>
      </c>
      <c r="J25"/>
      <c r="K25">
        <v>9.32</v>
      </c>
      <c r="L25">
        <v>0.0</v>
      </c>
      <c r="M25"/>
      <c r="N25"/>
      <c r="O25">
        <v>1.68</v>
      </c>
      <c r="P25">
        <v>0.0</v>
      </c>
      <c r="Q25">
        <v>11.0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"0013677"</f>
        <v>0013677</v>
      </c>
      <c r="G26">
        <v>1</v>
      </c>
      <c r="H26" t="str">
        <f>"00000001"</f>
        <v>00000001</v>
      </c>
      <c r="I26" t="s">
        <v>35</v>
      </c>
      <c r="J26"/>
      <c r="K26">
        <v>11.86</v>
      </c>
      <c r="L26">
        <v>0.0</v>
      </c>
      <c r="M26"/>
      <c r="N26"/>
      <c r="O26">
        <v>2.14</v>
      </c>
      <c r="P26">
        <v>0.0</v>
      </c>
      <c r="Q26">
        <v>14.0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"0013678"</f>
        <v>0013678</v>
      </c>
      <c r="G27">
        <v>1</v>
      </c>
      <c r="H27" t="str">
        <f>"00000390"</f>
        <v>00000390</v>
      </c>
      <c r="I27" t="s">
        <v>37</v>
      </c>
      <c r="J27"/>
      <c r="K27">
        <v>5.08</v>
      </c>
      <c r="L27">
        <v>0.0</v>
      </c>
      <c r="M27"/>
      <c r="N27"/>
      <c r="O27">
        <v>0.92</v>
      </c>
      <c r="P27">
        <v>0.0</v>
      </c>
      <c r="Q27">
        <v>6.0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"0013679"</f>
        <v>0013679</v>
      </c>
      <c r="G28">
        <v>1</v>
      </c>
      <c r="H28" t="str">
        <f>"00000001"</f>
        <v>00000001</v>
      </c>
      <c r="I28" t="s">
        <v>35</v>
      </c>
      <c r="J28"/>
      <c r="K28">
        <v>15.68</v>
      </c>
      <c r="L28">
        <v>0.0</v>
      </c>
      <c r="M28"/>
      <c r="N28"/>
      <c r="O28">
        <v>2.82</v>
      </c>
      <c r="P28">
        <v>0.0</v>
      </c>
      <c r="Q28">
        <v>18.5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"0013680"</f>
        <v>0013680</v>
      </c>
      <c r="G29">
        <v>1</v>
      </c>
      <c r="H29" t="str">
        <f>"00000001"</f>
        <v>00000001</v>
      </c>
      <c r="I29" t="s">
        <v>35</v>
      </c>
      <c r="J29"/>
      <c r="K29">
        <v>15.25</v>
      </c>
      <c r="L29">
        <v>0.0</v>
      </c>
      <c r="M29"/>
      <c r="N29"/>
      <c r="O29">
        <v>2.75</v>
      </c>
      <c r="P29">
        <v>0.0</v>
      </c>
      <c r="Q29">
        <v>18.0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"0013681"</f>
        <v>0013681</v>
      </c>
      <c r="G30">
        <v>1</v>
      </c>
      <c r="H30" t="str">
        <f>"00000001"</f>
        <v>00000001</v>
      </c>
      <c r="I30" t="s">
        <v>35</v>
      </c>
      <c r="J30"/>
      <c r="K30">
        <v>18.64</v>
      </c>
      <c r="L30">
        <v>0.0</v>
      </c>
      <c r="M30"/>
      <c r="N30"/>
      <c r="O30">
        <v>3.36</v>
      </c>
      <c r="P30">
        <v>0.0</v>
      </c>
      <c r="Q30">
        <v>22.0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"0013682"</f>
        <v>0013682</v>
      </c>
      <c r="G31">
        <v>1</v>
      </c>
      <c r="H31" t="str">
        <f>"00000001"</f>
        <v>00000001</v>
      </c>
      <c r="I31" t="s">
        <v>35</v>
      </c>
      <c r="J31"/>
      <c r="K31">
        <v>10.17</v>
      </c>
      <c r="L31">
        <v>0.0</v>
      </c>
      <c r="M31"/>
      <c r="N31"/>
      <c r="O31">
        <v>1.83</v>
      </c>
      <c r="P31">
        <v>0.0</v>
      </c>
      <c r="Q31">
        <v>12.0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33</v>
      </c>
      <c r="E32" t="s">
        <v>34</v>
      </c>
      <c r="F32" t="str">
        <f>"0013683"</f>
        <v>0013683</v>
      </c>
      <c r="G32">
        <v>1</v>
      </c>
      <c r="H32" t="str">
        <f>"00000001"</f>
        <v>00000001</v>
      </c>
      <c r="I32" t="s">
        <v>35</v>
      </c>
      <c r="J32"/>
      <c r="K32">
        <v>2.2</v>
      </c>
      <c r="L32">
        <v>0.0</v>
      </c>
      <c r="M32"/>
      <c r="N32"/>
      <c r="O32">
        <v>0.4</v>
      </c>
      <c r="P32">
        <v>0.0</v>
      </c>
      <c r="Q32">
        <v>2.6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"0013684"</f>
        <v>0013684</v>
      </c>
      <c r="G33">
        <v>1</v>
      </c>
      <c r="H33" t="str">
        <f>"00000001"</f>
        <v>00000001</v>
      </c>
      <c r="I33" t="s">
        <v>35</v>
      </c>
      <c r="J33"/>
      <c r="K33">
        <v>27.12</v>
      </c>
      <c r="L33">
        <v>0.0</v>
      </c>
      <c r="M33"/>
      <c r="N33"/>
      <c r="O33">
        <v>4.88</v>
      </c>
      <c r="P33">
        <v>0.0</v>
      </c>
      <c r="Q33">
        <v>32.0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"0013685"</f>
        <v>0013685</v>
      </c>
      <c r="G34">
        <v>1</v>
      </c>
      <c r="H34" t="str">
        <f>"00000001"</f>
        <v>00000001</v>
      </c>
      <c r="I34" t="s">
        <v>35</v>
      </c>
      <c r="J34"/>
      <c r="K34">
        <v>22.03</v>
      </c>
      <c r="L34">
        <v>0.0</v>
      </c>
      <c r="M34"/>
      <c r="N34"/>
      <c r="O34">
        <v>3.97</v>
      </c>
      <c r="P34">
        <v>0.0</v>
      </c>
      <c r="Q34">
        <v>26.0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"0013686"</f>
        <v>0013686</v>
      </c>
      <c r="G35">
        <v>1</v>
      </c>
      <c r="H35" t="str">
        <f>"00000001"</f>
        <v>00000001</v>
      </c>
      <c r="I35" t="s">
        <v>35</v>
      </c>
      <c r="J35"/>
      <c r="K35">
        <v>30.51</v>
      </c>
      <c r="L35">
        <v>0.0</v>
      </c>
      <c r="M35"/>
      <c r="N35"/>
      <c r="O35">
        <v>5.49</v>
      </c>
      <c r="P35">
        <v>0.0</v>
      </c>
      <c r="Q35">
        <v>36.0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"0013687"</f>
        <v>0013687</v>
      </c>
      <c r="G36">
        <v>1</v>
      </c>
      <c r="H36" t="str">
        <f>"00000001"</f>
        <v>00000001</v>
      </c>
      <c r="I36" t="s">
        <v>35</v>
      </c>
      <c r="J36"/>
      <c r="K36">
        <v>23.73</v>
      </c>
      <c r="L36">
        <v>0.0</v>
      </c>
      <c r="M36"/>
      <c r="N36"/>
      <c r="O36">
        <v>4.27</v>
      </c>
      <c r="P36">
        <v>0.0</v>
      </c>
      <c r="Q36">
        <v>28.0</v>
      </c>
      <c r="R36"/>
      <c r="S36"/>
      <c r="T36"/>
      <c r="U36"/>
      <c r="V36"/>
      <c r="W36">
        <v>18</v>
      </c>
    </row>
    <row r="37" spans="1:23">
      <c r="A37"/>
      <c r="B37" t="s">
        <v>32</v>
      </c>
      <c r="C37" t="s">
        <v>32</v>
      </c>
      <c r="D37" t="s">
        <v>33</v>
      </c>
      <c r="E37" t="s">
        <v>34</v>
      </c>
      <c r="F37" t="str">
        <f>"0013688"</f>
        <v>0013688</v>
      </c>
      <c r="G37">
        <v>1</v>
      </c>
      <c r="H37" t="str">
        <f>"00000001"</f>
        <v>00000001</v>
      </c>
      <c r="I37" t="s">
        <v>35</v>
      </c>
      <c r="J37"/>
      <c r="K37">
        <v>11.02</v>
      </c>
      <c r="L37">
        <v>0.0</v>
      </c>
      <c r="M37"/>
      <c r="N37"/>
      <c r="O37">
        <v>1.98</v>
      </c>
      <c r="P37">
        <v>0.0</v>
      </c>
      <c r="Q37">
        <v>13.0</v>
      </c>
      <c r="R37"/>
      <c r="S37"/>
      <c r="T37"/>
      <c r="U37"/>
      <c r="V37"/>
      <c r="W37">
        <v>18</v>
      </c>
    </row>
    <row r="38" spans="1:23">
      <c r="A38"/>
      <c r="B38" t="s">
        <v>32</v>
      </c>
      <c r="C38" t="s">
        <v>32</v>
      </c>
      <c r="D38" t="s">
        <v>33</v>
      </c>
      <c r="E38" t="s">
        <v>34</v>
      </c>
      <c r="F38" t="str">
        <f>"0013689"</f>
        <v>0013689</v>
      </c>
      <c r="G38">
        <v>1</v>
      </c>
      <c r="H38" t="str">
        <f>"00000001"</f>
        <v>00000001</v>
      </c>
      <c r="I38" t="s">
        <v>35</v>
      </c>
      <c r="J38"/>
      <c r="K38">
        <v>4.24</v>
      </c>
      <c r="L38">
        <v>0.0</v>
      </c>
      <c r="M38"/>
      <c r="N38"/>
      <c r="O38">
        <v>0.76</v>
      </c>
      <c r="P38">
        <v>0.0</v>
      </c>
      <c r="Q38">
        <v>5.0</v>
      </c>
      <c r="R38"/>
      <c r="S38"/>
      <c r="T38"/>
      <c r="U38"/>
      <c r="V38"/>
      <c r="W38">
        <v>18</v>
      </c>
    </row>
    <row r="39" spans="1:23">
      <c r="A39"/>
      <c r="B39" t="s">
        <v>32</v>
      </c>
      <c r="C39" t="s">
        <v>32</v>
      </c>
      <c r="D39" t="s">
        <v>33</v>
      </c>
      <c r="E39" t="s">
        <v>34</v>
      </c>
      <c r="F39" t="str">
        <f>"0013690"</f>
        <v>0013690</v>
      </c>
      <c r="G39">
        <v>1</v>
      </c>
      <c r="H39" t="str">
        <f>"00000001"</f>
        <v>00000001</v>
      </c>
      <c r="I39" t="s">
        <v>35</v>
      </c>
      <c r="J39"/>
      <c r="K39">
        <v>4.24</v>
      </c>
      <c r="L39">
        <v>0.0</v>
      </c>
      <c r="M39"/>
      <c r="N39"/>
      <c r="O39">
        <v>0.76</v>
      </c>
      <c r="P39">
        <v>0.0</v>
      </c>
      <c r="Q39">
        <v>5.0</v>
      </c>
      <c r="R39"/>
      <c r="S39"/>
      <c r="T39"/>
      <c r="U39"/>
      <c r="V39"/>
      <c r="W39">
        <v>18</v>
      </c>
    </row>
    <row r="40" spans="1:23">
      <c r="A40"/>
      <c r="B40" t="s">
        <v>32</v>
      </c>
      <c r="C40" t="s">
        <v>32</v>
      </c>
      <c r="D40" t="s">
        <v>33</v>
      </c>
      <c r="E40" t="s">
        <v>34</v>
      </c>
      <c r="F40" t="str">
        <f>"0013691"</f>
        <v>0013691</v>
      </c>
      <c r="G40">
        <v>1</v>
      </c>
      <c r="H40" t="str">
        <f>"00000001"</f>
        <v>00000001</v>
      </c>
      <c r="I40" t="s">
        <v>35</v>
      </c>
      <c r="J40"/>
      <c r="K40">
        <v>2.12</v>
      </c>
      <c r="L40">
        <v>0.0</v>
      </c>
      <c r="M40"/>
      <c r="N40"/>
      <c r="O40">
        <v>0.38</v>
      </c>
      <c r="P40">
        <v>0.0</v>
      </c>
      <c r="Q40">
        <v>2.5</v>
      </c>
      <c r="R40"/>
      <c r="S40"/>
      <c r="T40"/>
      <c r="U40"/>
      <c r="V40"/>
      <c r="W40">
        <v>18</v>
      </c>
    </row>
    <row r="41" spans="1:23">
      <c r="A41"/>
      <c r="B41" t="s">
        <v>32</v>
      </c>
      <c r="C41" t="s">
        <v>32</v>
      </c>
      <c r="D41" t="s">
        <v>33</v>
      </c>
      <c r="E41" t="s">
        <v>34</v>
      </c>
      <c r="F41" t="str">
        <f>"0013692"</f>
        <v>0013692</v>
      </c>
      <c r="G41">
        <v>1</v>
      </c>
      <c r="H41" t="str">
        <f>"00000001"</f>
        <v>00000001</v>
      </c>
      <c r="I41" t="s">
        <v>35</v>
      </c>
      <c r="J41"/>
      <c r="K41">
        <v>27.12</v>
      </c>
      <c r="L41">
        <v>0.0</v>
      </c>
      <c r="M41"/>
      <c r="N41"/>
      <c r="O41">
        <v>4.88</v>
      </c>
      <c r="P41">
        <v>0.0</v>
      </c>
      <c r="Q41">
        <v>32.0</v>
      </c>
      <c r="R41"/>
      <c r="S41"/>
      <c r="T41"/>
      <c r="U41"/>
      <c r="V41"/>
      <c r="W41">
        <v>18</v>
      </c>
    </row>
    <row r="42" spans="1:23">
      <c r="A42"/>
      <c r="B42" t="s">
        <v>32</v>
      </c>
      <c r="C42" t="s">
        <v>32</v>
      </c>
      <c r="D42" t="s">
        <v>33</v>
      </c>
      <c r="E42" t="s">
        <v>34</v>
      </c>
      <c r="F42" t="str">
        <f>"0013693"</f>
        <v>0013693</v>
      </c>
      <c r="G42">
        <v>1</v>
      </c>
      <c r="H42" t="str">
        <f>"00000001"</f>
        <v>00000001</v>
      </c>
      <c r="I42" t="s">
        <v>35</v>
      </c>
      <c r="J42"/>
      <c r="K42">
        <v>7.63</v>
      </c>
      <c r="L42">
        <v>0.0</v>
      </c>
      <c r="M42"/>
      <c r="N42"/>
      <c r="O42">
        <v>1.37</v>
      </c>
      <c r="P42">
        <v>0.0</v>
      </c>
      <c r="Q42">
        <v>9.0</v>
      </c>
      <c r="R42"/>
      <c r="S42"/>
      <c r="T42"/>
      <c r="U42"/>
      <c r="V42"/>
      <c r="W42">
        <v>18</v>
      </c>
    </row>
    <row r="43" spans="1:23">
      <c r="A43"/>
      <c r="B43" t="s">
        <v>32</v>
      </c>
      <c r="C43" t="s">
        <v>32</v>
      </c>
      <c r="D43" t="s">
        <v>33</v>
      </c>
      <c r="E43" t="s">
        <v>34</v>
      </c>
      <c r="F43" t="str">
        <f>"0013694"</f>
        <v>0013694</v>
      </c>
      <c r="G43">
        <v>1</v>
      </c>
      <c r="H43" t="str">
        <f>"00000001"</f>
        <v>00000001</v>
      </c>
      <c r="I43" t="s">
        <v>35</v>
      </c>
      <c r="J43"/>
      <c r="K43">
        <v>4.66</v>
      </c>
      <c r="L43">
        <v>0.0</v>
      </c>
      <c r="M43"/>
      <c r="N43"/>
      <c r="O43">
        <v>0.84</v>
      </c>
      <c r="P43">
        <v>0.0</v>
      </c>
      <c r="Q43">
        <v>5.5</v>
      </c>
      <c r="R43"/>
      <c r="S43"/>
      <c r="T43"/>
      <c r="U43"/>
      <c r="V43"/>
      <c r="W43">
        <v>18</v>
      </c>
    </row>
    <row r="44" spans="1:23">
      <c r="A44"/>
      <c r="B44" t="s">
        <v>32</v>
      </c>
      <c r="C44" t="s">
        <v>32</v>
      </c>
      <c r="D44" t="s">
        <v>33</v>
      </c>
      <c r="E44" t="s">
        <v>34</v>
      </c>
      <c r="F44" t="str">
        <f>"0013695"</f>
        <v>0013695</v>
      </c>
      <c r="G44">
        <v>1</v>
      </c>
      <c r="H44" t="str">
        <f>"00000001"</f>
        <v>00000001</v>
      </c>
      <c r="I44" t="s">
        <v>35</v>
      </c>
      <c r="J44"/>
      <c r="K44">
        <v>4.24</v>
      </c>
      <c r="L44">
        <v>0.0</v>
      </c>
      <c r="M44"/>
      <c r="N44"/>
      <c r="O44">
        <v>0.76</v>
      </c>
      <c r="P44">
        <v>0.0</v>
      </c>
      <c r="Q44">
        <v>5.0</v>
      </c>
      <c r="R44"/>
      <c r="S44"/>
      <c r="T44"/>
      <c r="U44"/>
      <c r="V44"/>
      <c r="W44">
        <v>18</v>
      </c>
    </row>
    <row r="45" spans="1:23">
      <c r="A45"/>
      <c r="B45" t="s">
        <v>32</v>
      </c>
      <c r="C45" t="s">
        <v>32</v>
      </c>
      <c r="D45" t="s">
        <v>33</v>
      </c>
      <c r="E45" t="s">
        <v>34</v>
      </c>
      <c r="F45" t="str">
        <f>"0013696"</f>
        <v>0013696</v>
      </c>
      <c r="G45">
        <v>1</v>
      </c>
      <c r="H45" t="str">
        <f>"00000001"</f>
        <v>00000001</v>
      </c>
      <c r="I45" t="s">
        <v>35</v>
      </c>
      <c r="J45"/>
      <c r="K45">
        <v>25.42</v>
      </c>
      <c r="L45">
        <v>0.0</v>
      </c>
      <c r="M45"/>
      <c r="N45"/>
      <c r="O45">
        <v>4.58</v>
      </c>
      <c r="P45">
        <v>0.0</v>
      </c>
      <c r="Q45">
        <v>30.0</v>
      </c>
      <c r="R45"/>
      <c r="S45"/>
      <c r="T45"/>
      <c r="U45"/>
      <c r="V45"/>
      <c r="W45">
        <v>18</v>
      </c>
    </row>
    <row r="46" spans="1:23">
      <c r="A46"/>
      <c r="B46" t="s">
        <v>32</v>
      </c>
      <c r="C46" t="s">
        <v>32</v>
      </c>
      <c r="D46" t="s">
        <v>33</v>
      </c>
      <c r="E46" t="s">
        <v>34</v>
      </c>
      <c r="F46" t="str">
        <f>"0013697"</f>
        <v>0013697</v>
      </c>
      <c r="G46">
        <v>1</v>
      </c>
      <c r="H46" t="str">
        <f>"00000001"</f>
        <v>00000001</v>
      </c>
      <c r="I46" t="s">
        <v>35</v>
      </c>
      <c r="J46"/>
      <c r="K46">
        <v>21.19</v>
      </c>
      <c r="L46">
        <v>0.0</v>
      </c>
      <c r="M46"/>
      <c r="N46"/>
      <c r="O46">
        <v>3.81</v>
      </c>
      <c r="P46">
        <v>0.0</v>
      </c>
      <c r="Q46">
        <v>25.0</v>
      </c>
      <c r="R46"/>
      <c r="S46"/>
      <c r="T46"/>
      <c r="U46"/>
      <c r="V46"/>
      <c r="W46">
        <v>18</v>
      </c>
    </row>
    <row r="47" spans="1:23">
      <c r="A47"/>
      <c r="B47" t="s">
        <v>32</v>
      </c>
      <c r="C47" t="s">
        <v>32</v>
      </c>
      <c r="D47" t="s">
        <v>33</v>
      </c>
      <c r="E47" t="s">
        <v>34</v>
      </c>
      <c r="F47" t="str">
        <f>"0013698"</f>
        <v>0013698</v>
      </c>
      <c r="G47">
        <v>1</v>
      </c>
      <c r="H47" t="str">
        <f>"00000001"</f>
        <v>00000001</v>
      </c>
      <c r="I47" t="s">
        <v>35</v>
      </c>
      <c r="J47"/>
      <c r="K47">
        <v>25.42</v>
      </c>
      <c r="L47">
        <v>0.0</v>
      </c>
      <c r="M47"/>
      <c r="N47"/>
      <c r="O47">
        <v>4.58</v>
      </c>
      <c r="P47">
        <v>0.0</v>
      </c>
      <c r="Q47">
        <v>30.0</v>
      </c>
      <c r="R47"/>
      <c r="S47"/>
      <c r="T47"/>
      <c r="U47"/>
      <c r="V47"/>
      <c r="W47">
        <v>18</v>
      </c>
    </row>
    <row r="48" spans="1:23">
      <c r="A48"/>
      <c r="B48" t="s">
        <v>32</v>
      </c>
      <c r="C48" t="s">
        <v>32</v>
      </c>
      <c r="D48" t="s">
        <v>33</v>
      </c>
      <c r="E48" t="s">
        <v>34</v>
      </c>
      <c r="F48" t="str">
        <f>"0013699"</f>
        <v>0013699</v>
      </c>
      <c r="G48">
        <v>1</v>
      </c>
      <c r="H48" t="str">
        <f>"00000001"</f>
        <v>00000001</v>
      </c>
      <c r="I48" t="s">
        <v>35</v>
      </c>
      <c r="J48"/>
      <c r="K48">
        <v>4.24</v>
      </c>
      <c r="L48">
        <v>0.0</v>
      </c>
      <c r="M48"/>
      <c r="N48"/>
      <c r="O48">
        <v>0.76</v>
      </c>
      <c r="P48">
        <v>0.0</v>
      </c>
      <c r="Q48">
        <v>5.0</v>
      </c>
      <c r="R48"/>
      <c r="S48"/>
      <c r="T48"/>
      <c r="U48"/>
      <c r="V48"/>
      <c r="W48">
        <v>18</v>
      </c>
    </row>
    <row r="49" spans="1:23">
      <c r="A49"/>
      <c r="B49" t="s">
        <v>32</v>
      </c>
      <c r="C49" t="s">
        <v>32</v>
      </c>
      <c r="D49" t="s">
        <v>33</v>
      </c>
      <c r="E49" t="s">
        <v>34</v>
      </c>
      <c r="F49" t="str">
        <f>"0013700"</f>
        <v>0013700</v>
      </c>
      <c r="G49">
        <v>1</v>
      </c>
      <c r="H49" t="str">
        <f>"00000001"</f>
        <v>00000001</v>
      </c>
      <c r="I49" t="s">
        <v>35</v>
      </c>
      <c r="J49"/>
      <c r="K49">
        <v>2.12</v>
      </c>
      <c r="L49">
        <v>0.0</v>
      </c>
      <c r="M49"/>
      <c r="N49"/>
      <c r="O49">
        <v>0.38</v>
      </c>
      <c r="P49">
        <v>0.0</v>
      </c>
      <c r="Q49">
        <v>2.5</v>
      </c>
      <c r="R49"/>
      <c r="S49"/>
      <c r="T49"/>
      <c r="U49"/>
      <c r="V49"/>
      <c r="W49">
        <v>18</v>
      </c>
    </row>
    <row r="50" spans="1:23">
      <c r="A50"/>
      <c r="B50" t="s">
        <v>32</v>
      </c>
      <c r="C50" t="s">
        <v>32</v>
      </c>
      <c r="D50" t="s">
        <v>33</v>
      </c>
      <c r="E50" t="s">
        <v>34</v>
      </c>
      <c r="F50" t="str">
        <f>"0013701"</f>
        <v>0013701</v>
      </c>
      <c r="G50">
        <v>1</v>
      </c>
      <c r="H50" t="str">
        <f>"00000001"</f>
        <v>00000001</v>
      </c>
      <c r="I50" t="s">
        <v>35</v>
      </c>
      <c r="J50"/>
      <c r="K50">
        <v>2.12</v>
      </c>
      <c r="L50">
        <v>0.0</v>
      </c>
      <c r="M50"/>
      <c r="N50"/>
      <c r="O50">
        <v>0.38</v>
      </c>
      <c r="P50">
        <v>0.0</v>
      </c>
      <c r="Q50">
        <v>2.5</v>
      </c>
      <c r="R50"/>
      <c r="S50"/>
      <c r="T50"/>
      <c r="U50"/>
      <c r="V50"/>
      <c r="W50">
        <v>18</v>
      </c>
    </row>
    <row r="51" spans="1:23">
      <c r="A51"/>
      <c r="B51" t="s">
        <v>32</v>
      </c>
      <c r="C51" t="s">
        <v>32</v>
      </c>
      <c r="D51" t="s">
        <v>33</v>
      </c>
      <c r="E51" t="s">
        <v>34</v>
      </c>
      <c r="F51" t="str">
        <f>"0013702"</f>
        <v>0013702</v>
      </c>
      <c r="G51">
        <v>1</v>
      </c>
      <c r="H51" t="str">
        <f>"00000001"</f>
        <v>00000001</v>
      </c>
      <c r="I51" t="s">
        <v>35</v>
      </c>
      <c r="J51"/>
      <c r="K51">
        <v>1.69</v>
      </c>
      <c r="L51">
        <v>0.0</v>
      </c>
      <c r="M51"/>
      <c r="N51"/>
      <c r="O51">
        <v>0.31</v>
      </c>
      <c r="P51">
        <v>0.0</v>
      </c>
      <c r="Q51">
        <v>2.0</v>
      </c>
      <c r="R51"/>
      <c r="S51"/>
      <c r="T51"/>
      <c r="U51"/>
      <c r="V51"/>
      <c r="W51">
        <v>18</v>
      </c>
    </row>
    <row r="52" spans="1:23">
      <c r="A52"/>
      <c r="B52" t="s">
        <v>32</v>
      </c>
      <c r="C52" t="s">
        <v>32</v>
      </c>
      <c r="D52" t="s">
        <v>33</v>
      </c>
      <c r="E52" t="s">
        <v>34</v>
      </c>
      <c r="F52" t="str">
        <f>"0013703"</f>
        <v>0013703</v>
      </c>
      <c r="G52">
        <v>1</v>
      </c>
      <c r="H52" t="str">
        <f>"00000001"</f>
        <v>00000001</v>
      </c>
      <c r="I52" t="s">
        <v>35</v>
      </c>
      <c r="J52"/>
      <c r="K52">
        <v>12.71</v>
      </c>
      <c r="L52">
        <v>0.0</v>
      </c>
      <c r="M52"/>
      <c r="N52"/>
      <c r="O52">
        <v>2.29</v>
      </c>
      <c r="P52">
        <v>0.0</v>
      </c>
      <c r="Q52">
        <v>15.0</v>
      </c>
      <c r="R52"/>
      <c r="S52"/>
      <c r="T52"/>
      <c r="U52"/>
      <c r="V52"/>
      <c r="W52">
        <v>18</v>
      </c>
    </row>
    <row r="53" spans="1:23">
      <c r="A53"/>
      <c r="B53" t="s">
        <v>32</v>
      </c>
      <c r="C53" t="s">
        <v>32</v>
      </c>
      <c r="D53" t="s">
        <v>33</v>
      </c>
      <c r="E53" t="s">
        <v>34</v>
      </c>
      <c r="F53" t="str">
        <f>"0013704"</f>
        <v>0013704</v>
      </c>
      <c r="G53">
        <v>1</v>
      </c>
      <c r="H53" t="str">
        <f>"00000001"</f>
        <v>00000001</v>
      </c>
      <c r="I53" t="s">
        <v>35</v>
      </c>
      <c r="J53"/>
      <c r="K53">
        <v>15.25</v>
      </c>
      <c r="L53">
        <v>0.0</v>
      </c>
      <c r="M53"/>
      <c r="N53"/>
      <c r="O53">
        <v>2.75</v>
      </c>
      <c r="P53">
        <v>0.0</v>
      </c>
      <c r="Q53">
        <v>18.0</v>
      </c>
      <c r="R53"/>
      <c r="S53"/>
      <c r="T53"/>
      <c r="U53"/>
      <c r="V53"/>
      <c r="W53">
        <v>18</v>
      </c>
    </row>
    <row r="54" spans="1:23">
      <c r="A54"/>
      <c r="B54" t="s">
        <v>32</v>
      </c>
      <c r="C54" t="s">
        <v>32</v>
      </c>
      <c r="D54" t="s">
        <v>33</v>
      </c>
      <c r="E54" t="s">
        <v>34</v>
      </c>
      <c r="F54" t="str">
        <f>"0013705"</f>
        <v>0013705</v>
      </c>
      <c r="G54">
        <v>1</v>
      </c>
      <c r="H54" t="str">
        <f>"00000001"</f>
        <v>00000001</v>
      </c>
      <c r="I54" t="s">
        <v>35</v>
      </c>
      <c r="J54"/>
      <c r="K54">
        <v>15.25</v>
      </c>
      <c r="L54">
        <v>0.0</v>
      </c>
      <c r="M54"/>
      <c r="N54"/>
      <c r="O54">
        <v>2.75</v>
      </c>
      <c r="P54">
        <v>0.0</v>
      </c>
      <c r="Q54">
        <v>18.0</v>
      </c>
      <c r="R54"/>
      <c r="S54"/>
      <c r="T54"/>
      <c r="U54"/>
      <c r="V54"/>
      <c r="W54">
        <v>18</v>
      </c>
    </row>
    <row r="55" spans="1:23">
      <c r="A55"/>
      <c r="B55" t="s">
        <v>32</v>
      </c>
      <c r="C55" t="s">
        <v>32</v>
      </c>
      <c r="D55" t="s">
        <v>33</v>
      </c>
      <c r="E55" t="s">
        <v>34</v>
      </c>
      <c r="F55" t="str">
        <f>"0013706"</f>
        <v>0013706</v>
      </c>
      <c r="G55">
        <v>1</v>
      </c>
      <c r="H55" t="str">
        <f>"00000001"</f>
        <v>00000001</v>
      </c>
      <c r="I55" t="s">
        <v>35</v>
      </c>
      <c r="J55"/>
      <c r="K55">
        <v>15.25</v>
      </c>
      <c r="L55">
        <v>0.0</v>
      </c>
      <c r="M55"/>
      <c r="N55"/>
      <c r="O55">
        <v>2.75</v>
      </c>
      <c r="P55">
        <v>0.0</v>
      </c>
      <c r="Q55">
        <v>18.0</v>
      </c>
      <c r="R55"/>
      <c r="S55"/>
      <c r="T55"/>
      <c r="U55"/>
      <c r="V55"/>
      <c r="W55">
        <v>18</v>
      </c>
    </row>
    <row r="56" spans="1:23">
      <c r="A56"/>
      <c r="B56" t="s">
        <v>32</v>
      </c>
      <c r="C56" t="s">
        <v>32</v>
      </c>
      <c r="D56" t="s">
        <v>33</v>
      </c>
      <c r="E56" t="s">
        <v>34</v>
      </c>
      <c r="F56" t="str">
        <f>"0013707"</f>
        <v>0013707</v>
      </c>
      <c r="G56">
        <v>1</v>
      </c>
      <c r="H56" t="str">
        <f>"00000001"</f>
        <v>00000001</v>
      </c>
      <c r="I56" t="s">
        <v>35</v>
      </c>
      <c r="J56"/>
      <c r="K56">
        <v>4.24</v>
      </c>
      <c r="L56">
        <v>0.0</v>
      </c>
      <c r="M56"/>
      <c r="N56"/>
      <c r="O56">
        <v>0.76</v>
      </c>
      <c r="P56">
        <v>0.0</v>
      </c>
      <c r="Q56">
        <v>5.0</v>
      </c>
      <c r="R56"/>
      <c r="S56"/>
      <c r="T56"/>
      <c r="U56"/>
      <c r="V56"/>
      <c r="W56">
        <v>18</v>
      </c>
    </row>
    <row r="57" spans="1:23">
      <c r="A57"/>
      <c r="B57" t="s">
        <v>32</v>
      </c>
      <c r="C57" t="s">
        <v>32</v>
      </c>
      <c r="D57" t="s">
        <v>33</v>
      </c>
      <c r="E57" t="s">
        <v>34</v>
      </c>
      <c r="F57" t="str">
        <f>"0013708"</f>
        <v>0013708</v>
      </c>
      <c r="G57">
        <v>1</v>
      </c>
      <c r="H57" t="str">
        <f>"00000001"</f>
        <v>00000001</v>
      </c>
      <c r="I57" t="s">
        <v>35</v>
      </c>
      <c r="J57"/>
      <c r="K57">
        <v>6.78</v>
      </c>
      <c r="L57">
        <v>0.0</v>
      </c>
      <c r="M57"/>
      <c r="N57"/>
      <c r="O57">
        <v>1.22</v>
      </c>
      <c r="P57">
        <v>0.0</v>
      </c>
      <c r="Q57">
        <v>8.0</v>
      </c>
      <c r="R57"/>
      <c r="S57"/>
      <c r="T57"/>
      <c r="U57"/>
      <c r="V57"/>
      <c r="W57">
        <v>18</v>
      </c>
    </row>
    <row r="58" spans="1:23">
      <c r="A58"/>
      <c r="B58" t="s">
        <v>32</v>
      </c>
      <c r="C58" t="s">
        <v>32</v>
      </c>
      <c r="D58" t="s">
        <v>33</v>
      </c>
      <c r="E58" t="s">
        <v>34</v>
      </c>
      <c r="F58" t="str">
        <f>"0013709"</f>
        <v>0013709</v>
      </c>
      <c r="G58">
        <v>1</v>
      </c>
      <c r="H58" t="str">
        <f>"00000001"</f>
        <v>00000001</v>
      </c>
      <c r="I58" t="s">
        <v>35</v>
      </c>
      <c r="J58"/>
      <c r="K58">
        <v>5.51</v>
      </c>
      <c r="L58">
        <v>0.0</v>
      </c>
      <c r="M58"/>
      <c r="N58"/>
      <c r="O58">
        <v>0.99</v>
      </c>
      <c r="P58">
        <v>0.0</v>
      </c>
      <c r="Q58">
        <v>6.5</v>
      </c>
      <c r="R58"/>
      <c r="S58"/>
      <c r="T58"/>
      <c r="U58"/>
      <c r="V58"/>
      <c r="W58">
        <v>18</v>
      </c>
    </row>
    <row r="59" spans="1:23">
      <c r="A59"/>
      <c r="B59" t="s">
        <v>32</v>
      </c>
      <c r="C59" t="s">
        <v>32</v>
      </c>
      <c r="D59" t="s">
        <v>33</v>
      </c>
      <c r="E59" t="s">
        <v>34</v>
      </c>
      <c r="F59" t="str">
        <f>"0013710"</f>
        <v>0013710</v>
      </c>
      <c r="G59">
        <v>1</v>
      </c>
      <c r="H59" t="str">
        <f>"00000001"</f>
        <v>00000001</v>
      </c>
      <c r="I59" t="s">
        <v>35</v>
      </c>
      <c r="J59"/>
      <c r="K59">
        <v>8.47</v>
      </c>
      <c r="L59">
        <v>0.0</v>
      </c>
      <c r="M59"/>
      <c r="N59"/>
      <c r="O59">
        <v>1.53</v>
      </c>
      <c r="P59">
        <v>0.0</v>
      </c>
      <c r="Q59">
        <v>10.0</v>
      </c>
      <c r="R59"/>
      <c r="S59"/>
      <c r="T59"/>
      <c r="U59"/>
      <c r="V59"/>
      <c r="W59">
        <v>18</v>
      </c>
    </row>
    <row r="60" spans="1:23">
      <c r="A60"/>
      <c r="B60" t="s">
        <v>32</v>
      </c>
      <c r="C60" t="s">
        <v>32</v>
      </c>
      <c r="D60" t="s">
        <v>33</v>
      </c>
      <c r="E60" t="s">
        <v>34</v>
      </c>
      <c r="F60" t="str">
        <f>"0013711"</f>
        <v>0013711</v>
      </c>
      <c r="G60">
        <v>1</v>
      </c>
      <c r="H60" t="str">
        <f>"00000001"</f>
        <v>00000001</v>
      </c>
      <c r="I60" t="s">
        <v>35</v>
      </c>
      <c r="J60"/>
      <c r="K60">
        <v>4.24</v>
      </c>
      <c r="L60">
        <v>0.0</v>
      </c>
      <c r="M60"/>
      <c r="N60"/>
      <c r="O60">
        <v>0.76</v>
      </c>
      <c r="P60">
        <v>0.0</v>
      </c>
      <c r="Q60">
        <v>5.0</v>
      </c>
      <c r="R60"/>
      <c r="S60"/>
      <c r="T60"/>
      <c r="U60"/>
      <c r="V60"/>
      <c r="W60">
        <v>18</v>
      </c>
    </row>
    <row r="61" spans="1:23">
      <c r="A61"/>
      <c r="B61" t="s">
        <v>32</v>
      </c>
      <c r="C61" t="s">
        <v>32</v>
      </c>
      <c r="D61" t="s">
        <v>33</v>
      </c>
      <c r="E61" t="s">
        <v>34</v>
      </c>
      <c r="F61" t="str">
        <f>"0013712"</f>
        <v>0013712</v>
      </c>
      <c r="G61">
        <v>1</v>
      </c>
      <c r="H61" t="str">
        <f>"00000001"</f>
        <v>00000001</v>
      </c>
      <c r="I61" t="s">
        <v>35</v>
      </c>
      <c r="J61"/>
      <c r="K61">
        <v>5.93</v>
      </c>
      <c r="L61">
        <v>0.0</v>
      </c>
      <c r="M61"/>
      <c r="N61"/>
      <c r="O61">
        <v>1.07</v>
      </c>
      <c r="P61">
        <v>0.0</v>
      </c>
      <c r="Q61">
        <v>7.0</v>
      </c>
      <c r="R61"/>
      <c r="S61"/>
      <c r="T61"/>
      <c r="U61"/>
      <c r="V61"/>
      <c r="W61">
        <v>18</v>
      </c>
    </row>
    <row r="62" spans="1:23">
      <c r="A62"/>
      <c r="B62" t="s">
        <v>32</v>
      </c>
      <c r="C62" t="s">
        <v>32</v>
      </c>
      <c r="D62" t="s">
        <v>33</v>
      </c>
      <c r="E62" t="s">
        <v>34</v>
      </c>
      <c r="F62" t="str">
        <f>"0013713"</f>
        <v>0013713</v>
      </c>
      <c r="G62">
        <v>1</v>
      </c>
      <c r="H62" t="str">
        <f>"00000001"</f>
        <v>00000001</v>
      </c>
      <c r="I62" t="s">
        <v>35</v>
      </c>
      <c r="J62"/>
      <c r="K62">
        <v>8.47</v>
      </c>
      <c r="L62">
        <v>0.0</v>
      </c>
      <c r="M62"/>
      <c r="N62"/>
      <c r="O62">
        <v>1.53</v>
      </c>
      <c r="P62">
        <v>0.0</v>
      </c>
      <c r="Q62">
        <v>10.0</v>
      </c>
      <c r="R62"/>
      <c r="S62"/>
      <c r="T62"/>
      <c r="U62"/>
      <c r="V62"/>
      <c r="W62">
        <v>18</v>
      </c>
    </row>
    <row r="63" spans="1:23">
      <c r="A63"/>
      <c r="B63" t="s">
        <v>38</v>
      </c>
      <c r="C63" t="s">
        <v>38</v>
      </c>
      <c r="D63" t="s">
        <v>33</v>
      </c>
      <c r="E63" t="s">
        <v>34</v>
      </c>
      <c r="F63" t="str">
        <f>"0013714"</f>
        <v>0013714</v>
      </c>
      <c r="G63">
        <v>1</v>
      </c>
      <c r="H63" t="str">
        <f>"00000001"</f>
        <v>00000001</v>
      </c>
      <c r="I63" t="s">
        <v>35</v>
      </c>
      <c r="J63"/>
      <c r="K63">
        <v>8.56</v>
      </c>
      <c r="L63">
        <v>0.0</v>
      </c>
      <c r="M63"/>
      <c r="N63"/>
      <c r="O63">
        <v>1.54</v>
      </c>
      <c r="P63">
        <v>0.0</v>
      </c>
      <c r="Q63">
        <v>10.1</v>
      </c>
      <c r="R63"/>
      <c r="S63"/>
      <c r="T63"/>
      <c r="U63"/>
      <c r="V63"/>
      <c r="W63">
        <v>18</v>
      </c>
    </row>
    <row r="64" spans="1:23">
      <c r="A64"/>
      <c r="B64" t="s">
        <v>38</v>
      </c>
      <c r="C64" t="s">
        <v>38</v>
      </c>
      <c r="D64" t="s">
        <v>33</v>
      </c>
      <c r="E64" t="s">
        <v>34</v>
      </c>
      <c r="F64" t="str">
        <f>"0013715"</f>
        <v>0013715</v>
      </c>
      <c r="G64">
        <v>1</v>
      </c>
      <c r="H64" t="str">
        <f>"00000001"</f>
        <v>00000001</v>
      </c>
      <c r="I64" t="s">
        <v>35</v>
      </c>
      <c r="J64"/>
      <c r="K64">
        <v>3.9</v>
      </c>
      <c r="L64">
        <v>0.0</v>
      </c>
      <c r="M64"/>
      <c r="N64"/>
      <c r="O64">
        <v>0.7</v>
      </c>
      <c r="P64">
        <v>0.0</v>
      </c>
      <c r="Q64">
        <v>4.6</v>
      </c>
      <c r="R64"/>
      <c r="S64"/>
      <c r="T64"/>
      <c r="U64"/>
      <c r="V64"/>
      <c r="W64">
        <v>18</v>
      </c>
    </row>
    <row r="65" spans="1:23">
      <c r="A65"/>
      <c r="B65" t="s">
        <v>38</v>
      </c>
      <c r="C65" t="s">
        <v>38</v>
      </c>
      <c r="D65" t="s">
        <v>33</v>
      </c>
      <c r="E65" t="s">
        <v>34</v>
      </c>
      <c r="F65" t="str">
        <f>"0013716"</f>
        <v>0013716</v>
      </c>
      <c r="G65">
        <v>1</v>
      </c>
      <c r="H65" t="str">
        <f>"00000001"</f>
        <v>00000001</v>
      </c>
      <c r="I65" t="s">
        <v>35</v>
      </c>
      <c r="J65"/>
      <c r="K65">
        <v>1.69</v>
      </c>
      <c r="L65">
        <v>0.0</v>
      </c>
      <c r="M65"/>
      <c r="N65"/>
      <c r="O65">
        <v>0.31</v>
      </c>
      <c r="P65">
        <v>0.0</v>
      </c>
      <c r="Q65">
        <v>2.0</v>
      </c>
      <c r="R65"/>
      <c r="S65"/>
      <c r="T65"/>
      <c r="U65"/>
      <c r="V65"/>
      <c r="W65">
        <v>18</v>
      </c>
    </row>
    <row r="66" spans="1:23">
      <c r="A66"/>
      <c r="B66" t="s">
        <v>38</v>
      </c>
      <c r="C66" t="s">
        <v>38</v>
      </c>
      <c r="D66" t="s">
        <v>33</v>
      </c>
      <c r="E66" t="s">
        <v>34</v>
      </c>
      <c r="F66" t="str">
        <f>"0013717"</f>
        <v>0013717</v>
      </c>
      <c r="G66">
        <v>1</v>
      </c>
      <c r="H66" t="str">
        <f>"00000001"</f>
        <v>00000001</v>
      </c>
      <c r="I66" t="s">
        <v>35</v>
      </c>
      <c r="J66"/>
      <c r="K66">
        <v>11.02</v>
      </c>
      <c r="L66">
        <v>0.0</v>
      </c>
      <c r="M66"/>
      <c r="N66"/>
      <c r="O66">
        <v>1.98</v>
      </c>
      <c r="P66">
        <v>0.0</v>
      </c>
      <c r="Q66">
        <v>13.0</v>
      </c>
      <c r="R66"/>
      <c r="S66"/>
      <c r="T66"/>
      <c r="U66"/>
      <c r="V66"/>
      <c r="W66">
        <v>18</v>
      </c>
    </row>
    <row r="67" spans="1:23">
      <c r="A67"/>
      <c r="B67" t="s">
        <v>38</v>
      </c>
      <c r="C67" t="s">
        <v>38</v>
      </c>
      <c r="D67" t="s">
        <v>33</v>
      </c>
      <c r="E67" t="s">
        <v>34</v>
      </c>
      <c r="F67" t="str">
        <f>"0013718"</f>
        <v>0013718</v>
      </c>
      <c r="G67">
        <v>1</v>
      </c>
      <c r="H67" t="str">
        <f>"0000ROSA"</f>
        <v>0000ROSA</v>
      </c>
      <c r="I67" t="s">
        <v>39</v>
      </c>
      <c r="J67"/>
      <c r="K67">
        <v>189.83</v>
      </c>
      <c r="L67">
        <v>0.0</v>
      </c>
      <c r="M67"/>
      <c r="N67"/>
      <c r="O67">
        <v>34.17</v>
      </c>
      <c r="P67">
        <v>0.0</v>
      </c>
      <c r="Q67">
        <v>224.0</v>
      </c>
      <c r="R67"/>
      <c r="S67"/>
      <c r="T67"/>
      <c r="U67"/>
      <c r="V67"/>
      <c r="W67">
        <v>18</v>
      </c>
    </row>
    <row r="68" spans="1:23">
      <c r="A68"/>
      <c r="B68" t="s">
        <v>38</v>
      </c>
      <c r="C68" t="s">
        <v>38</v>
      </c>
      <c r="D68" t="s">
        <v>33</v>
      </c>
      <c r="E68" t="s">
        <v>34</v>
      </c>
      <c r="F68" t="str">
        <f>"0013719"</f>
        <v>0013719</v>
      </c>
      <c r="G68">
        <v>1</v>
      </c>
      <c r="H68" t="str">
        <f>"00000001"</f>
        <v>00000001</v>
      </c>
      <c r="I68" t="s">
        <v>35</v>
      </c>
      <c r="J68"/>
      <c r="K68">
        <v>13.56</v>
      </c>
      <c r="L68">
        <v>0.0</v>
      </c>
      <c r="M68"/>
      <c r="N68"/>
      <c r="O68">
        <v>2.44</v>
      </c>
      <c r="P68">
        <v>0.0</v>
      </c>
      <c r="Q68">
        <v>16.0</v>
      </c>
      <c r="R68"/>
      <c r="S68"/>
      <c r="T68"/>
      <c r="U68"/>
      <c r="V68"/>
      <c r="W68">
        <v>18</v>
      </c>
    </row>
    <row r="69" spans="1:23">
      <c r="A69"/>
      <c r="B69" t="s">
        <v>38</v>
      </c>
      <c r="C69" t="s">
        <v>38</v>
      </c>
      <c r="D69" t="s">
        <v>33</v>
      </c>
      <c r="E69" t="s">
        <v>34</v>
      </c>
      <c r="F69" t="str">
        <f>"0013720"</f>
        <v>0013720</v>
      </c>
      <c r="G69">
        <v>1</v>
      </c>
      <c r="H69" t="str">
        <f>"00000001"</f>
        <v>00000001</v>
      </c>
      <c r="I69" t="s">
        <v>35</v>
      </c>
      <c r="J69"/>
      <c r="K69">
        <v>23.73</v>
      </c>
      <c r="L69">
        <v>0.0</v>
      </c>
      <c r="M69"/>
      <c r="N69"/>
      <c r="O69">
        <v>4.27</v>
      </c>
      <c r="P69">
        <v>0.0</v>
      </c>
      <c r="Q69">
        <v>28.0</v>
      </c>
      <c r="R69"/>
      <c r="S69"/>
      <c r="T69"/>
      <c r="U69"/>
      <c r="V69"/>
      <c r="W69">
        <v>18</v>
      </c>
    </row>
    <row r="70" spans="1:23">
      <c r="A70"/>
      <c r="B70" t="s">
        <v>38</v>
      </c>
      <c r="C70" t="s">
        <v>38</v>
      </c>
      <c r="D70" t="s">
        <v>33</v>
      </c>
      <c r="E70" t="s">
        <v>34</v>
      </c>
      <c r="F70" t="str">
        <f>"0013721"</f>
        <v>0013721</v>
      </c>
      <c r="G70">
        <v>1</v>
      </c>
      <c r="H70" t="str">
        <f>"00000001"</f>
        <v>00000001</v>
      </c>
      <c r="I70" t="s">
        <v>35</v>
      </c>
      <c r="J70"/>
      <c r="K70">
        <v>3.39</v>
      </c>
      <c r="L70">
        <v>0.0</v>
      </c>
      <c r="M70"/>
      <c r="N70"/>
      <c r="O70">
        <v>0.61</v>
      </c>
      <c r="P70">
        <v>0.0</v>
      </c>
      <c r="Q70">
        <v>4.0</v>
      </c>
      <c r="R70"/>
      <c r="S70"/>
      <c r="T70"/>
      <c r="U70"/>
      <c r="V70"/>
      <c r="W70">
        <v>18</v>
      </c>
    </row>
    <row r="71" spans="1:23">
      <c r="A71"/>
      <c r="B71" t="s">
        <v>38</v>
      </c>
      <c r="C71" t="s">
        <v>38</v>
      </c>
      <c r="D71" t="s">
        <v>33</v>
      </c>
      <c r="E71" t="s">
        <v>34</v>
      </c>
      <c r="F71" t="str">
        <f>"0013722"</f>
        <v>0013722</v>
      </c>
      <c r="G71">
        <v>1</v>
      </c>
      <c r="H71" t="str">
        <f>"00000001"</f>
        <v>00000001</v>
      </c>
      <c r="I71" t="s">
        <v>35</v>
      </c>
      <c r="J71"/>
      <c r="K71">
        <v>7.2</v>
      </c>
      <c r="L71">
        <v>0.0</v>
      </c>
      <c r="M71"/>
      <c r="N71"/>
      <c r="O71">
        <v>1.3</v>
      </c>
      <c r="P71">
        <v>0.0</v>
      </c>
      <c r="Q71">
        <v>8.5</v>
      </c>
      <c r="R71"/>
      <c r="S71"/>
      <c r="T71"/>
      <c r="U71"/>
      <c r="V71"/>
      <c r="W71">
        <v>18</v>
      </c>
    </row>
    <row r="72" spans="1:23">
      <c r="A72"/>
      <c r="B72" t="s">
        <v>38</v>
      </c>
      <c r="C72" t="s">
        <v>38</v>
      </c>
      <c r="D72" t="s">
        <v>33</v>
      </c>
      <c r="E72" t="s">
        <v>34</v>
      </c>
      <c r="F72" t="str">
        <f>"0013723"</f>
        <v>0013723</v>
      </c>
      <c r="G72">
        <v>1</v>
      </c>
      <c r="H72" t="str">
        <f>"00000001"</f>
        <v>00000001</v>
      </c>
      <c r="I72" t="s">
        <v>35</v>
      </c>
      <c r="J72"/>
      <c r="K72">
        <v>16.95</v>
      </c>
      <c r="L72">
        <v>0.0</v>
      </c>
      <c r="M72"/>
      <c r="N72"/>
      <c r="O72">
        <v>3.05</v>
      </c>
      <c r="P72">
        <v>0.0</v>
      </c>
      <c r="Q72">
        <v>20.0</v>
      </c>
      <c r="R72"/>
      <c r="S72"/>
      <c r="T72"/>
      <c r="U72"/>
      <c r="V72"/>
      <c r="W72">
        <v>18</v>
      </c>
    </row>
    <row r="73" spans="1:23">
      <c r="A73"/>
      <c r="B73" t="s">
        <v>38</v>
      </c>
      <c r="C73" t="s">
        <v>38</v>
      </c>
      <c r="D73" t="s">
        <v>33</v>
      </c>
      <c r="E73" t="s">
        <v>34</v>
      </c>
      <c r="F73" t="str">
        <f>"0013724"</f>
        <v>0013724</v>
      </c>
      <c r="G73">
        <v>1</v>
      </c>
      <c r="H73" t="str">
        <f>"00000001"</f>
        <v>00000001</v>
      </c>
      <c r="I73" t="s">
        <v>35</v>
      </c>
      <c r="J73"/>
      <c r="K73">
        <v>13.56</v>
      </c>
      <c r="L73">
        <v>0.0</v>
      </c>
      <c r="M73"/>
      <c r="N73"/>
      <c r="O73">
        <v>2.44</v>
      </c>
      <c r="P73">
        <v>0.0</v>
      </c>
      <c r="Q73">
        <v>16.0</v>
      </c>
      <c r="R73"/>
      <c r="S73"/>
      <c r="T73"/>
      <c r="U73"/>
      <c r="V73"/>
      <c r="W73">
        <v>18</v>
      </c>
    </row>
    <row r="74" spans="1:23">
      <c r="A74"/>
      <c r="B74" t="s">
        <v>38</v>
      </c>
      <c r="C74" t="s">
        <v>38</v>
      </c>
      <c r="D74" t="s">
        <v>40</v>
      </c>
      <c r="E74" t="s">
        <v>41</v>
      </c>
      <c r="F74" t="str">
        <f>"0001262"</f>
        <v>0001262</v>
      </c>
      <c r="G74">
        <v>6</v>
      </c>
      <c r="H74" t="str">
        <f>"20212387755"</f>
        <v>20212387755</v>
      </c>
      <c r="I74" t="s">
        <v>42</v>
      </c>
      <c r="J74"/>
      <c r="K74">
        <v>59.32</v>
      </c>
      <c r="L74">
        <v>0.0</v>
      </c>
      <c r="M74"/>
      <c r="N74"/>
      <c r="O74">
        <v>10.68</v>
      </c>
      <c r="P74">
        <v>0.0</v>
      </c>
      <c r="Q74">
        <v>70.0</v>
      </c>
      <c r="R74"/>
      <c r="S74"/>
      <c r="T74"/>
      <c r="U74"/>
      <c r="V74"/>
      <c r="W74">
        <v>18</v>
      </c>
    </row>
    <row r="75" spans="1:23">
      <c r="A75"/>
      <c r="B75" t="s">
        <v>38</v>
      </c>
      <c r="C75" t="s">
        <v>38</v>
      </c>
      <c r="D75" t="s">
        <v>33</v>
      </c>
      <c r="E75" t="s">
        <v>34</v>
      </c>
      <c r="F75" t="str">
        <f>"0013725"</f>
        <v>0013725</v>
      </c>
      <c r="G75">
        <v>1</v>
      </c>
      <c r="H75" t="str">
        <f>"00000001"</f>
        <v>00000001</v>
      </c>
      <c r="I75" t="s">
        <v>35</v>
      </c>
      <c r="J75"/>
      <c r="K75">
        <v>5.08</v>
      </c>
      <c r="L75">
        <v>0.0</v>
      </c>
      <c r="M75"/>
      <c r="N75"/>
      <c r="O75">
        <v>0.92</v>
      </c>
      <c r="P75">
        <v>0.0</v>
      </c>
      <c r="Q75">
        <v>6.0</v>
      </c>
      <c r="R75"/>
      <c r="S75"/>
      <c r="T75"/>
      <c r="U75"/>
      <c r="V75"/>
      <c r="W75">
        <v>18</v>
      </c>
    </row>
    <row r="76" spans="1:23">
      <c r="A76"/>
      <c r="B76" t="s">
        <v>38</v>
      </c>
      <c r="C76" t="s">
        <v>38</v>
      </c>
      <c r="D76" t="s">
        <v>33</v>
      </c>
      <c r="E76" t="s">
        <v>34</v>
      </c>
      <c r="F76" t="str">
        <f>"0013726"</f>
        <v>0013726</v>
      </c>
      <c r="G76">
        <v>1</v>
      </c>
      <c r="H76" t="str">
        <f>"00000001"</f>
        <v>00000001</v>
      </c>
      <c r="I76" t="s">
        <v>35</v>
      </c>
      <c r="J76"/>
      <c r="K76">
        <v>5.08</v>
      </c>
      <c r="L76">
        <v>0.0</v>
      </c>
      <c r="M76"/>
      <c r="N76"/>
      <c r="O76">
        <v>0.92</v>
      </c>
      <c r="P76">
        <v>0.0</v>
      </c>
      <c r="Q76">
        <v>6.0</v>
      </c>
      <c r="R76"/>
      <c r="S76"/>
      <c r="T76"/>
      <c r="U76"/>
      <c r="V76"/>
      <c r="W76">
        <v>18</v>
      </c>
    </row>
    <row r="77" spans="1:23">
      <c r="A77"/>
      <c r="B77" t="s">
        <v>38</v>
      </c>
      <c r="C77" t="s">
        <v>38</v>
      </c>
      <c r="D77" t="s">
        <v>33</v>
      </c>
      <c r="E77" t="s">
        <v>34</v>
      </c>
      <c r="F77" t="str">
        <f>"0013727"</f>
        <v>0013727</v>
      </c>
      <c r="G77">
        <v>1</v>
      </c>
      <c r="H77" t="str">
        <f>"00000001"</f>
        <v>00000001</v>
      </c>
      <c r="I77" t="s">
        <v>35</v>
      </c>
      <c r="J77"/>
      <c r="K77">
        <v>2.71</v>
      </c>
      <c r="L77">
        <v>0.0</v>
      </c>
      <c r="M77"/>
      <c r="N77"/>
      <c r="O77">
        <v>0.49</v>
      </c>
      <c r="P77">
        <v>0.0</v>
      </c>
      <c r="Q77">
        <v>3.2</v>
      </c>
      <c r="R77"/>
      <c r="S77"/>
      <c r="T77"/>
      <c r="U77"/>
      <c r="V77"/>
      <c r="W77">
        <v>18</v>
      </c>
    </row>
    <row r="78" spans="1:23">
      <c r="A78"/>
      <c r="B78" t="s">
        <v>38</v>
      </c>
      <c r="C78" t="s">
        <v>38</v>
      </c>
      <c r="D78" t="s">
        <v>33</v>
      </c>
      <c r="E78" t="s">
        <v>34</v>
      </c>
      <c r="F78" t="str">
        <f>"0013728"</f>
        <v>0013728</v>
      </c>
      <c r="G78">
        <v>1</v>
      </c>
      <c r="H78" t="str">
        <f>"00000001"</f>
        <v>00000001</v>
      </c>
      <c r="I78" t="s">
        <v>35</v>
      </c>
      <c r="J78"/>
      <c r="K78">
        <v>121.19</v>
      </c>
      <c r="L78">
        <v>0.0</v>
      </c>
      <c r="M78"/>
      <c r="N78"/>
      <c r="O78">
        <v>21.81</v>
      </c>
      <c r="P78">
        <v>0.0</v>
      </c>
      <c r="Q78">
        <v>143.0</v>
      </c>
      <c r="R78"/>
      <c r="S78"/>
      <c r="T78"/>
      <c r="U78"/>
      <c r="V78"/>
      <c r="W78">
        <v>18</v>
      </c>
    </row>
    <row r="79" spans="1:23">
      <c r="A79"/>
      <c r="B79" t="s">
        <v>38</v>
      </c>
      <c r="C79" t="s">
        <v>38</v>
      </c>
      <c r="D79" t="s">
        <v>33</v>
      </c>
      <c r="E79" t="s">
        <v>34</v>
      </c>
      <c r="F79" t="str">
        <f>"0013729"</f>
        <v>0013729</v>
      </c>
      <c r="G79">
        <v>1</v>
      </c>
      <c r="H79" t="str">
        <f>"00000001"</f>
        <v>00000001</v>
      </c>
      <c r="I79" t="s">
        <v>35</v>
      </c>
      <c r="J79"/>
      <c r="K79">
        <v>1.27</v>
      </c>
      <c r="L79">
        <v>0.0</v>
      </c>
      <c r="M79"/>
      <c r="N79"/>
      <c r="O79">
        <v>0.23</v>
      </c>
      <c r="P79">
        <v>0.0</v>
      </c>
      <c r="Q79">
        <v>1.5</v>
      </c>
      <c r="R79"/>
      <c r="S79"/>
      <c r="T79"/>
      <c r="U79"/>
      <c r="V79"/>
      <c r="W79">
        <v>18</v>
      </c>
    </row>
    <row r="80" spans="1:23">
      <c r="A80"/>
      <c r="B80" t="s">
        <v>38</v>
      </c>
      <c r="C80" t="s">
        <v>38</v>
      </c>
      <c r="D80" t="s">
        <v>33</v>
      </c>
      <c r="E80" t="s">
        <v>34</v>
      </c>
      <c r="F80" t="str">
        <f>"0013730"</f>
        <v>0013730</v>
      </c>
      <c r="G80">
        <v>1</v>
      </c>
      <c r="H80" t="str">
        <f>"00000001"</f>
        <v>00000001</v>
      </c>
      <c r="I80" t="s">
        <v>35</v>
      </c>
      <c r="J80"/>
      <c r="K80">
        <v>16.95</v>
      </c>
      <c r="L80">
        <v>0.0</v>
      </c>
      <c r="M80"/>
      <c r="N80"/>
      <c r="O80">
        <v>3.05</v>
      </c>
      <c r="P80">
        <v>0.0</v>
      </c>
      <c r="Q80">
        <v>20.0</v>
      </c>
      <c r="R80"/>
      <c r="S80"/>
      <c r="T80"/>
      <c r="U80"/>
      <c r="V80"/>
      <c r="W80">
        <v>18</v>
      </c>
    </row>
    <row r="81" spans="1:23">
      <c r="A81"/>
      <c r="B81" t="s">
        <v>38</v>
      </c>
      <c r="C81" t="s">
        <v>38</v>
      </c>
      <c r="D81" t="s">
        <v>33</v>
      </c>
      <c r="E81" t="s">
        <v>34</v>
      </c>
      <c r="F81" t="str">
        <f>"0013731"</f>
        <v>0013731</v>
      </c>
      <c r="G81">
        <v>1</v>
      </c>
      <c r="H81" t="str">
        <f>"00000001"</f>
        <v>00000001</v>
      </c>
      <c r="I81" t="s">
        <v>35</v>
      </c>
      <c r="J81"/>
      <c r="K81">
        <v>23.73</v>
      </c>
      <c r="L81">
        <v>0.0</v>
      </c>
      <c r="M81"/>
      <c r="N81"/>
      <c r="O81">
        <v>4.27</v>
      </c>
      <c r="P81">
        <v>0.0</v>
      </c>
      <c r="Q81">
        <v>28.0</v>
      </c>
      <c r="R81"/>
      <c r="S81"/>
      <c r="T81"/>
      <c r="U81"/>
      <c r="V81"/>
      <c r="W81">
        <v>18</v>
      </c>
    </row>
    <row r="82" spans="1:23">
      <c r="A82"/>
      <c r="B82" t="s">
        <v>38</v>
      </c>
      <c r="C82" t="s">
        <v>38</v>
      </c>
      <c r="D82" t="s">
        <v>33</v>
      </c>
      <c r="E82" t="s">
        <v>34</v>
      </c>
      <c r="F82" t="str">
        <f>"0013732"</f>
        <v>0013732</v>
      </c>
      <c r="G82">
        <v>1</v>
      </c>
      <c r="H82" t="str">
        <f>"00000001"</f>
        <v>00000001</v>
      </c>
      <c r="I82" t="s">
        <v>35</v>
      </c>
      <c r="J82"/>
      <c r="K82">
        <v>12.71</v>
      </c>
      <c r="L82">
        <v>0.0</v>
      </c>
      <c r="M82"/>
      <c r="N82"/>
      <c r="O82">
        <v>2.29</v>
      </c>
      <c r="P82">
        <v>0.0</v>
      </c>
      <c r="Q82">
        <v>15.0</v>
      </c>
      <c r="R82"/>
      <c r="S82"/>
      <c r="T82"/>
      <c r="U82"/>
      <c r="V82"/>
      <c r="W82">
        <v>18</v>
      </c>
    </row>
    <row r="83" spans="1:23">
      <c r="A83"/>
      <c r="B83" t="s">
        <v>38</v>
      </c>
      <c r="C83" t="s">
        <v>38</v>
      </c>
      <c r="D83" t="s">
        <v>33</v>
      </c>
      <c r="E83" t="s">
        <v>34</v>
      </c>
      <c r="F83" t="str">
        <f>"0013733"</f>
        <v>0013733</v>
      </c>
      <c r="G83">
        <v>1</v>
      </c>
      <c r="H83" t="str">
        <f>"00000001"</f>
        <v>00000001</v>
      </c>
      <c r="I83" t="s">
        <v>35</v>
      </c>
      <c r="J83"/>
      <c r="K83">
        <v>6.78</v>
      </c>
      <c r="L83">
        <v>0.0</v>
      </c>
      <c r="M83"/>
      <c r="N83"/>
      <c r="O83">
        <v>1.22</v>
      </c>
      <c r="P83">
        <v>0.0</v>
      </c>
      <c r="Q83">
        <v>8.0</v>
      </c>
      <c r="R83"/>
      <c r="S83"/>
      <c r="T83"/>
      <c r="U83"/>
      <c r="V83"/>
      <c r="W83">
        <v>18</v>
      </c>
    </row>
    <row r="84" spans="1:23">
      <c r="A84"/>
      <c r="B84" t="s">
        <v>38</v>
      </c>
      <c r="C84" t="s">
        <v>38</v>
      </c>
      <c r="D84" t="s">
        <v>33</v>
      </c>
      <c r="E84" t="s">
        <v>34</v>
      </c>
      <c r="F84" t="str">
        <f>"0013734"</f>
        <v>0013734</v>
      </c>
      <c r="G84">
        <v>1</v>
      </c>
      <c r="H84" t="str">
        <f>"00000001"</f>
        <v>00000001</v>
      </c>
      <c r="I84" t="s">
        <v>35</v>
      </c>
      <c r="J84"/>
      <c r="K84">
        <v>6.78</v>
      </c>
      <c r="L84">
        <v>0.0</v>
      </c>
      <c r="M84"/>
      <c r="N84"/>
      <c r="O84">
        <v>1.22</v>
      </c>
      <c r="P84">
        <v>0.0</v>
      </c>
      <c r="Q84">
        <v>8.0</v>
      </c>
      <c r="R84"/>
      <c r="S84"/>
      <c r="T84"/>
      <c r="U84"/>
      <c r="V84"/>
      <c r="W84">
        <v>18</v>
      </c>
    </row>
    <row r="85" spans="1:23">
      <c r="A85"/>
      <c r="B85" t="s">
        <v>38</v>
      </c>
      <c r="C85" t="s">
        <v>38</v>
      </c>
      <c r="D85" t="s">
        <v>33</v>
      </c>
      <c r="E85" t="s">
        <v>34</v>
      </c>
      <c r="F85" t="str">
        <f>"0013735"</f>
        <v>0013735</v>
      </c>
      <c r="G85">
        <v>1</v>
      </c>
      <c r="H85" t="str">
        <f>"00000001"</f>
        <v>00000001</v>
      </c>
      <c r="I85" t="s">
        <v>35</v>
      </c>
      <c r="J85"/>
      <c r="K85">
        <v>5.08</v>
      </c>
      <c r="L85">
        <v>0.0</v>
      </c>
      <c r="M85"/>
      <c r="N85"/>
      <c r="O85">
        <v>0.92</v>
      </c>
      <c r="P85">
        <v>0.0</v>
      </c>
      <c r="Q85">
        <v>6.0</v>
      </c>
      <c r="R85"/>
      <c r="S85"/>
      <c r="T85"/>
      <c r="U85"/>
      <c r="V85"/>
      <c r="W85">
        <v>18</v>
      </c>
    </row>
    <row r="86" spans="1:23">
      <c r="A86"/>
      <c r="B86" t="s">
        <v>38</v>
      </c>
      <c r="C86" t="s">
        <v>38</v>
      </c>
      <c r="D86" t="s">
        <v>33</v>
      </c>
      <c r="E86" t="s">
        <v>34</v>
      </c>
      <c r="F86" t="str">
        <f>"0013736"</f>
        <v>0013736</v>
      </c>
      <c r="G86">
        <v>1</v>
      </c>
      <c r="H86" t="str">
        <f>"00000001"</f>
        <v>00000001</v>
      </c>
      <c r="I86" t="s">
        <v>35</v>
      </c>
      <c r="J86"/>
      <c r="K86">
        <v>6.78</v>
      </c>
      <c r="L86">
        <v>0.0</v>
      </c>
      <c r="M86"/>
      <c r="N86"/>
      <c r="O86">
        <v>1.22</v>
      </c>
      <c r="P86">
        <v>0.0</v>
      </c>
      <c r="Q86">
        <v>8.0</v>
      </c>
      <c r="R86"/>
      <c r="S86"/>
      <c r="T86"/>
      <c r="U86"/>
      <c r="V86"/>
      <c r="W86">
        <v>18</v>
      </c>
    </row>
    <row r="87" spans="1:23">
      <c r="A87"/>
      <c r="B87" t="s">
        <v>38</v>
      </c>
      <c r="C87" t="s">
        <v>38</v>
      </c>
      <c r="D87" t="s">
        <v>33</v>
      </c>
      <c r="E87" t="s">
        <v>34</v>
      </c>
      <c r="F87" t="str">
        <f>"0013737"</f>
        <v>0013737</v>
      </c>
      <c r="G87">
        <v>1</v>
      </c>
      <c r="H87" t="str">
        <f>"00000001"</f>
        <v>00000001</v>
      </c>
      <c r="I87" t="s">
        <v>35</v>
      </c>
      <c r="J87"/>
      <c r="K87">
        <v>15.25</v>
      </c>
      <c r="L87">
        <v>0.0</v>
      </c>
      <c r="M87"/>
      <c r="N87"/>
      <c r="O87">
        <v>2.75</v>
      </c>
      <c r="P87">
        <v>0.0</v>
      </c>
      <c r="Q87">
        <v>18.0</v>
      </c>
      <c r="R87"/>
      <c r="S87"/>
      <c r="T87"/>
      <c r="U87"/>
      <c r="V87"/>
      <c r="W87">
        <v>18</v>
      </c>
    </row>
    <row r="88" spans="1:23">
      <c r="A88"/>
      <c r="B88" t="s">
        <v>38</v>
      </c>
      <c r="C88" t="s">
        <v>38</v>
      </c>
      <c r="D88" t="s">
        <v>33</v>
      </c>
      <c r="E88" t="s">
        <v>34</v>
      </c>
      <c r="F88" t="str">
        <f>"0013738"</f>
        <v>0013738</v>
      </c>
      <c r="G88">
        <v>1</v>
      </c>
      <c r="H88" t="str">
        <f>"00000001"</f>
        <v>00000001</v>
      </c>
      <c r="I88" t="s">
        <v>35</v>
      </c>
      <c r="J88"/>
      <c r="K88">
        <v>27.12</v>
      </c>
      <c r="L88">
        <v>0.0</v>
      </c>
      <c r="M88"/>
      <c r="N88"/>
      <c r="O88">
        <v>4.88</v>
      </c>
      <c r="P88">
        <v>0.0</v>
      </c>
      <c r="Q88">
        <v>32.0</v>
      </c>
      <c r="R88"/>
      <c r="S88"/>
      <c r="T88"/>
      <c r="U88"/>
      <c r="V88"/>
      <c r="W88">
        <v>18</v>
      </c>
    </row>
    <row r="89" spans="1:23">
      <c r="A89"/>
      <c r="B89" t="s">
        <v>38</v>
      </c>
      <c r="C89" t="s">
        <v>38</v>
      </c>
      <c r="D89" t="s">
        <v>33</v>
      </c>
      <c r="E89" t="s">
        <v>34</v>
      </c>
      <c r="F89" t="str">
        <f>"0013739"</f>
        <v>0013739</v>
      </c>
      <c r="G89">
        <v>1</v>
      </c>
      <c r="H89" t="str">
        <f>"00000001"</f>
        <v>00000001</v>
      </c>
      <c r="I89" t="s">
        <v>35</v>
      </c>
      <c r="J89"/>
      <c r="K89">
        <v>3.39</v>
      </c>
      <c r="L89">
        <v>0.0</v>
      </c>
      <c r="M89"/>
      <c r="N89"/>
      <c r="O89">
        <v>0.61</v>
      </c>
      <c r="P89">
        <v>0.0</v>
      </c>
      <c r="Q89">
        <v>4.0</v>
      </c>
      <c r="R89"/>
      <c r="S89"/>
      <c r="T89"/>
      <c r="U89"/>
      <c r="V89"/>
      <c r="W89">
        <v>18</v>
      </c>
    </row>
    <row r="90" spans="1:23">
      <c r="A90"/>
      <c r="B90" t="s">
        <v>38</v>
      </c>
      <c r="C90" t="s">
        <v>38</v>
      </c>
      <c r="D90" t="s">
        <v>33</v>
      </c>
      <c r="E90" t="s">
        <v>34</v>
      </c>
      <c r="F90" t="str">
        <f>"0013740"</f>
        <v>0013740</v>
      </c>
      <c r="G90">
        <v>1</v>
      </c>
      <c r="H90" t="str">
        <f>"00000001"</f>
        <v>00000001</v>
      </c>
      <c r="I90" t="s">
        <v>35</v>
      </c>
      <c r="J90"/>
      <c r="K90">
        <v>5.08</v>
      </c>
      <c r="L90">
        <v>0.0</v>
      </c>
      <c r="M90"/>
      <c r="N90"/>
      <c r="O90">
        <v>0.92</v>
      </c>
      <c r="P90">
        <v>0.0</v>
      </c>
      <c r="Q90">
        <v>6.0</v>
      </c>
      <c r="R90"/>
      <c r="S90"/>
      <c r="T90"/>
      <c r="U90"/>
      <c r="V90"/>
      <c r="W90">
        <v>18</v>
      </c>
    </row>
    <row r="91" spans="1:23">
      <c r="A91"/>
      <c r="B91" t="s">
        <v>38</v>
      </c>
      <c r="C91" t="s">
        <v>38</v>
      </c>
      <c r="D91" t="s">
        <v>33</v>
      </c>
      <c r="E91" t="s">
        <v>34</v>
      </c>
      <c r="F91" t="str">
        <f>"0013741"</f>
        <v>0013741</v>
      </c>
      <c r="G91">
        <v>1</v>
      </c>
      <c r="H91" t="str">
        <f>"43977504"</f>
        <v>43977504</v>
      </c>
      <c r="I91" t="s">
        <v>43</v>
      </c>
      <c r="J91"/>
      <c r="K91">
        <v>262.71</v>
      </c>
      <c r="L91">
        <v>0.0</v>
      </c>
      <c r="M91"/>
      <c r="N91"/>
      <c r="O91">
        <v>47.29</v>
      </c>
      <c r="P91">
        <v>0.0</v>
      </c>
      <c r="Q91">
        <v>310.0</v>
      </c>
      <c r="R91"/>
      <c r="S91"/>
      <c r="T91"/>
      <c r="U91"/>
      <c r="V91"/>
      <c r="W91">
        <v>18</v>
      </c>
    </row>
    <row r="92" spans="1:23">
      <c r="A92"/>
      <c r="B92" t="s">
        <v>44</v>
      </c>
      <c r="C92" t="s">
        <v>44</v>
      </c>
      <c r="D92" t="s">
        <v>33</v>
      </c>
      <c r="E92" t="s">
        <v>34</v>
      </c>
      <c r="F92" t="str">
        <f>"0013742"</f>
        <v>0013742</v>
      </c>
      <c r="G92">
        <v>6</v>
      </c>
      <c r="H92" t="str">
        <f>"20613583107"</f>
        <v>20613583107</v>
      </c>
      <c r="I92" t="s">
        <v>45</v>
      </c>
      <c r="J92"/>
      <c r="K92">
        <v>14.41</v>
      </c>
      <c r="L92">
        <v>0.0</v>
      </c>
      <c r="M92"/>
      <c r="N92"/>
      <c r="O92">
        <v>2.59</v>
      </c>
      <c r="P92">
        <v>0.0</v>
      </c>
      <c r="Q92">
        <v>17.0</v>
      </c>
      <c r="R92"/>
      <c r="S92"/>
      <c r="T92"/>
      <c r="U92"/>
      <c r="V92"/>
      <c r="W92">
        <v>18</v>
      </c>
    </row>
    <row r="93" spans="1:23">
      <c r="A93"/>
      <c r="B93" t="s">
        <v>44</v>
      </c>
      <c r="C93" t="s">
        <v>44</v>
      </c>
      <c r="D93" t="s">
        <v>33</v>
      </c>
      <c r="E93" t="s">
        <v>34</v>
      </c>
      <c r="F93" t="str">
        <f>"0013743"</f>
        <v>0013743</v>
      </c>
      <c r="G93">
        <v>1</v>
      </c>
      <c r="H93" t="str">
        <f>"00000001"</f>
        <v>00000001</v>
      </c>
      <c r="I93" t="s">
        <v>35</v>
      </c>
      <c r="J93"/>
      <c r="K93">
        <v>11.86</v>
      </c>
      <c r="L93">
        <v>0.0</v>
      </c>
      <c r="M93"/>
      <c r="N93"/>
      <c r="O93">
        <v>2.14</v>
      </c>
      <c r="P93">
        <v>0.0</v>
      </c>
      <c r="Q93">
        <v>14.0</v>
      </c>
      <c r="R93"/>
      <c r="S93"/>
      <c r="T93"/>
      <c r="U93"/>
      <c r="V93"/>
      <c r="W93">
        <v>18</v>
      </c>
    </row>
    <row r="94" spans="1:23">
      <c r="A94"/>
      <c r="B94" t="s">
        <v>44</v>
      </c>
      <c r="C94" t="s">
        <v>44</v>
      </c>
      <c r="D94" t="s">
        <v>33</v>
      </c>
      <c r="E94" t="s">
        <v>34</v>
      </c>
      <c r="F94" t="str">
        <f>"0013744"</f>
        <v>0013744</v>
      </c>
      <c r="G94">
        <v>1</v>
      </c>
      <c r="H94" t="str">
        <f>"00000001"</f>
        <v>00000001</v>
      </c>
      <c r="I94" t="s">
        <v>35</v>
      </c>
      <c r="J94"/>
      <c r="K94">
        <v>6.78</v>
      </c>
      <c r="L94">
        <v>0.0</v>
      </c>
      <c r="M94"/>
      <c r="N94"/>
      <c r="O94">
        <v>1.22</v>
      </c>
      <c r="P94">
        <v>0.0</v>
      </c>
      <c r="Q94">
        <v>8.0</v>
      </c>
      <c r="R94"/>
      <c r="S94"/>
      <c r="T94"/>
      <c r="U94"/>
      <c r="V94"/>
      <c r="W94">
        <v>18</v>
      </c>
    </row>
    <row r="95" spans="1:23">
      <c r="A95"/>
      <c r="B95" t="s">
        <v>44</v>
      </c>
      <c r="C95" t="s">
        <v>44</v>
      </c>
      <c r="D95" t="s">
        <v>33</v>
      </c>
      <c r="E95" t="s">
        <v>34</v>
      </c>
      <c r="F95" t="str">
        <f>"0013745"</f>
        <v>0013745</v>
      </c>
      <c r="G95">
        <v>1</v>
      </c>
      <c r="H95" t="str">
        <f>"00000001"</f>
        <v>00000001</v>
      </c>
      <c r="I95" t="s">
        <v>35</v>
      </c>
      <c r="J95"/>
      <c r="K95">
        <v>4.24</v>
      </c>
      <c r="L95">
        <v>0.0</v>
      </c>
      <c r="M95"/>
      <c r="N95"/>
      <c r="O95">
        <v>0.76</v>
      </c>
      <c r="P95">
        <v>0.0</v>
      </c>
      <c r="Q95">
        <v>5.0</v>
      </c>
      <c r="R95"/>
      <c r="S95"/>
      <c r="T95"/>
      <c r="U95"/>
      <c r="V95"/>
      <c r="W95">
        <v>18</v>
      </c>
    </row>
    <row r="96" spans="1:23">
      <c r="A96"/>
      <c r="B96" t="s">
        <v>44</v>
      </c>
      <c r="C96" t="s">
        <v>44</v>
      </c>
      <c r="D96" t="s">
        <v>33</v>
      </c>
      <c r="E96" t="s">
        <v>34</v>
      </c>
      <c r="F96" t="str">
        <f>"0013746"</f>
        <v>0013746</v>
      </c>
      <c r="G96">
        <v>1</v>
      </c>
      <c r="H96" t="str">
        <f>"00000001"</f>
        <v>00000001</v>
      </c>
      <c r="I96" t="s">
        <v>35</v>
      </c>
      <c r="J96"/>
      <c r="K96">
        <v>2.54</v>
      </c>
      <c r="L96">
        <v>0.0</v>
      </c>
      <c r="M96"/>
      <c r="N96"/>
      <c r="O96">
        <v>0.46</v>
      </c>
      <c r="P96">
        <v>0.0</v>
      </c>
      <c r="Q96">
        <v>3.0</v>
      </c>
      <c r="R96"/>
      <c r="S96"/>
      <c r="T96"/>
      <c r="U96"/>
      <c r="V96"/>
      <c r="W96">
        <v>18</v>
      </c>
    </row>
    <row r="97" spans="1:23">
      <c r="A97"/>
      <c r="B97" t="s">
        <v>44</v>
      </c>
      <c r="C97" t="s">
        <v>44</v>
      </c>
      <c r="D97" t="s">
        <v>33</v>
      </c>
      <c r="E97" t="s">
        <v>34</v>
      </c>
      <c r="F97" t="str">
        <f>"0013747"</f>
        <v>0013747</v>
      </c>
      <c r="G97">
        <v>1</v>
      </c>
      <c r="H97" t="str">
        <f>"IEUV0000"</f>
        <v>IEUV0000</v>
      </c>
      <c r="I97" t="s">
        <v>46</v>
      </c>
      <c r="J97"/>
      <c r="K97">
        <v>2.54</v>
      </c>
      <c r="L97">
        <v>0.0</v>
      </c>
      <c r="M97"/>
      <c r="N97"/>
      <c r="O97">
        <v>0.46</v>
      </c>
      <c r="P97">
        <v>0.0</v>
      </c>
      <c r="Q97">
        <v>3.0</v>
      </c>
      <c r="R97"/>
      <c r="S97"/>
      <c r="T97"/>
      <c r="U97"/>
      <c r="V97"/>
      <c r="W97">
        <v>18</v>
      </c>
    </row>
    <row r="98" spans="1:23">
      <c r="A98"/>
      <c r="B98" t="s">
        <v>44</v>
      </c>
      <c r="C98" t="s">
        <v>44</v>
      </c>
      <c r="D98" t="s">
        <v>33</v>
      </c>
      <c r="E98" t="s">
        <v>34</v>
      </c>
      <c r="F98" t="str">
        <f>"0013748"</f>
        <v>0013748</v>
      </c>
      <c r="G98">
        <v>1</v>
      </c>
      <c r="H98" t="str">
        <f>"BCP00000"</f>
        <v>BCP00000</v>
      </c>
      <c r="I98" t="s">
        <v>47</v>
      </c>
      <c r="J98"/>
      <c r="K98">
        <v>5.93</v>
      </c>
      <c r="L98">
        <v>0.0</v>
      </c>
      <c r="M98"/>
      <c r="N98"/>
      <c r="O98">
        <v>1.07</v>
      </c>
      <c r="P98">
        <v>0.0</v>
      </c>
      <c r="Q98">
        <v>7.0</v>
      </c>
      <c r="R98"/>
      <c r="S98"/>
      <c r="T98"/>
      <c r="U98"/>
      <c r="V98"/>
      <c r="W98">
        <v>18</v>
      </c>
    </row>
    <row r="99" spans="1:23">
      <c r="A99"/>
      <c r="B99" t="s">
        <v>44</v>
      </c>
      <c r="C99" t="s">
        <v>44</v>
      </c>
      <c r="D99" t="s">
        <v>33</v>
      </c>
      <c r="E99" t="s">
        <v>34</v>
      </c>
      <c r="F99" t="str">
        <f>"0013749"</f>
        <v>0013749</v>
      </c>
      <c r="G99">
        <v>1</v>
      </c>
      <c r="H99" t="str">
        <f>"74074047"</f>
        <v>74074047</v>
      </c>
      <c r="I99" t="s">
        <v>48</v>
      </c>
      <c r="J99"/>
      <c r="K99">
        <v>15.25</v>
      </c>
      <c r="L99">
        <v>0.0</v>
      </c>
      <c r="M99"/>
      <c r="N99"/>
      <c r="O99">
        <v>2.75</v>
      </c>
      <c r="P99">
        <v>0.0</v>
      </c>
      <c r="Q99">
        <v>18.0</v>
      </c>
      <c r="R99"/>
      <c r="S99"/>
      <c r="T99"/>
      <c r="U99"/>
      <c r="V99"/>
      <c r="W99">
        <v>18</v>
      </c>
    </row>
    <row r="100" spans="1:23">
      <c r="A100"/>
      <c r="B100" t="s">
        <v>44</v>
      </c>
      <c r="C100" t="s">
        <v>44</v>
      </c>
      <c r="D100" t="s">
        <v>33</v>
      </c>
      <c r="E100" t="s">
        <v>34</v>
      </c>
      <c r="F100" t="str">
        <f>"0013750"</f>
        <v>0013750</v>
      </c>
      <c r="G100">
        <v>1</v>
      </c>
      <c r="H100" t="str">
        <f>"00000001"</f>
        <v>00000001</v>
      </c>
      <c r="I100" t="s">
        <v>35</v>
      </c>
      <c r="J100"/>
      <c r="K100">
        <v>5.93</v>
      </c>
      <c r="L100">
        <v>0.0</v>
      </c>
      <c r="M100"/>
      <c r="N100"/>
      <c r="O100">
        <v>1.07</v>
      </c>
      <c r="P100">
        <v>0.0</v>
      </c>
      <c r="Q100">
        <v>7.0</v>
      </c>
      <c r="R100"/>
      <c r="S100"/>
      <c r="T100"/>
      <c r="U100"/>
      <c r="V100"/>
      <c r="W100">
        <v>18</v>
      </c>
    </row>
    <row r="101" spans="1:23">
      <c r="A101"/>
      <c r="B101" t="s">
        <v>44</v>
      </c>
      <c r="C101" t="s">
        <v>44</v>
      </c>
      <c r="D101" t="s">
        <v>33</v>
      </c>
      <c r="E101" t="s">
        <v>34</v>
      </c>
      <c r="F101" t="str">
        <f>"0013751"</f>
        <v>0013751</v>
      </c>
      <c r="G101">
        <v>1</v>
      </c>
      <c r="H101" t="str">
        <f>"00000001"</f>
        <v>00000001</v>
      </c>
      <c r="I101" t="s">
        <v>35</v>
      </c>
      <c r="J101"/>
      <c r="K101">
        <v>38.14</v>
      </c>
      <c r="L101">
        <v>0.0</v>
      </c>
      <c r="M101"/>
      <c r="N101"/>
      <c r="O101">
        <v>6.86</v>
      </c>
      <c r="P101">
        <v>0.0</v>
      </c>
      <c r="Q101">
        <v>45.0</v>
      </c>
      <c r="R101"/>
      <c r="S101"/>
      <c r="T101"/>
      <c r="U101"/>
      <c r="V101"/>
      <c r="W101">
        <v>18</v>
      </c>
    </row>
    <row r="102" spans="1:23">
      <c r="A102"/>
      <c r="B102" t="s">
        <v>44</v>
      </c>
      <c r="C102" t="s">
        <v>44</v>
      </c>
      <c r="D102" t="s">
        <v>33</v>
      </c>
      <c r="E102" t="s">
        <v>34</v>
      </c>
      <c r="F102" t="str">
        <f>"0013752"</f>
        <v>0013752</v>
      </c>
      <c r="G102">
        <v>1</v>
      </c>
      <c r="H102" t="str">
        <f>"00000001"</f>
        <v>00000001</v>
      </c>
      <c r="I102" t="s">
        <v>35</v>
      </c>
      <c r="J102"/>
      <c r="K102">
        <v>18.64</v>
      </c>
      <c r="L102">
        <v>0.0</v>
      </c>
      <c r="M102"/>
      <c r="N102"/>
      <c r="O102">
        <v>3.36</v>
      </c>
      <c r="P102">
        <v>0.0</v>
      </c>
      <c r="Q102">
        <v>22.0</v>
      </c>
      <c r="R102"/>
      <c r="S102"/>
      <c r="T102"/>
      <c r="U102"/>
      <c r="V102"/>
      <c r="W102">
        <v>18</v>
      </c>
    </row>
    <row r="103" spans="1:23">
      <c r="A103"/>
      <c r="B103" t="s">
        <v>44</v>
      </c>
      <c r="C103" t="s">
        <v>44</v>
      </c>
      <c r="D103" t="s">
        <v>33</v>
      </c>
      <c r="E103" t="s">
        <v>34</v>
      </c>
      <c r="F103" t="str">
        <f>"0013753"</f>
        <v>0013753</v>
      </c>
      <c r="G103">
        <v>1</v>
      </c>
      <c r="H103" t="str">
        <f>"00000001"</f>
        <v>00000001</v>
      </c>
      <c r="I103" t="s">
        <v>35</v>
      </c>
      <c r="J103"/>
      <c r="K103">
        <v>7.63</v>
      </c>
      <c r="L103">
        <v>0.0</v>
      </c>
      <c r="M103"/>
      <c r="N103"/>
      <c r="O103">
        <v>1.37</v>
      </c>
      <c r="P103">
        <v>0.0</v>
      </c>
      <c r="Q103">
        <v>9.0</v>
      </c>
      <c r="R103"/>
      <c r="S103"/>
      <c r="T103"/>
      <c r="U103"/>
      <c r="V103"/>
      <c r="W103">
        <v>18</v>
      </c>
    </row>
    <row r="104" spans="1:23">
      <c r="A104"/>
      <c r="B104" t="s">
        <v>44</v>
      </c>
      <c r="C104" t="s">
        <v>44</v>
      </c>
      <c r="D104" t="s">
        <v>33</v>
      </c>
      <c r="E104" t="s">
        <v>34</v>
      </c>
      <c r="F104" t="str">
        <f>"0013754"</f>
        <v>0013754</v>
      </c>
      <c r="G104">
        <v>1</v>
      </c>
      <c r="H104" t="str">
        <f>"00000001"</f>
        <v>00000001</v>
      </c>
      <c r="I104" t="s">
        <v>35</v>
      </c>
      <c r="J104"/>
      <c r="K104">
        <v>10.17</v>
      </c>
      <c r="L104">
        <v>0.0</v>
      </c>
      <c r="M104"/>
      <c r="N104"/>
      <c r="O104">
        <v>1.83</v>
      </c>
      <c r="P104">
        <v>0.0</v>
      </c>
      <c r="Q104">
        <v>12.0</v>
      </c>
      <c r="R104"/>
      <c r="S104"/>
      <c r="T104"/>
      <c r="U104"/>
      <c r="V104"/>
      <c r="W104">
        <v>18</v>
      </c>
    </row>
    <row r="105" spans="1:23">
      <c r="A105"/>
      <c r="B105" t="s">
        <v>44</v>
      </c>
      <c r="C105" t="s">
        <v>44</v>
      </c>
      <c r="D105" t="s">
        <v>33</v>
      </c>
      <c r="E105" t="s">
        <v>34</v>
      </c>
      <c r="F105" t="str">
        <f>"0013755"</f>
        <v>0013755</v>
      </c>
      <c r="G105">
        <v>1</v>
      </c>
      <c r="H105" t="str">
        <f>"00000001"</f>
        <v>00000001</v>
      </c>
      <c r="I105" t="s">
        <v>35</v>
      </c>
      <c r="J105"/>
      <c r="K105">
        <v>10.17</v>
      </c>
      <c r="L105">
        <v>0.0</v>
      </c>
      <c r="M105"/>
      <c r="N105"/>
      <c r="O105">
        <v>1.83</v>
      </c>
      <c r="P105">
        <v>0.0</v>
      </c>
      <c r="Q105">
        <v>12.0</v>
      </c>
      <c r="R105"/>
      <c r="S105"/>
      <c r="T105"/>
      <c r="U105"/>
      <c r="V105"/>
      <c r="W105">
        <v>18</v>
      </c>
    </row>
    <row r="106" spans="1:23">
      <c r="A106"/>
      <c r="B106" t="s">
        <v>44</v>
      </c>
      <c r="C106" t="s">
        <v>44</v>
      </c>
      <c r="D106" t="s">
        <v>33</v>
      </c>
      <c r="E106" t="s">
        <v>34</v>
      </c>
      <c r="F106" t="str">
        <f>"0013756"</f>
        <v>0013756</v>
      </c>
      <c r="G106">
        <v>1</v>
      </c>
      <c r="H106" t="str">
        <f>"00000001"</f>
        <v>00000001</v>
      </c>
      <c r="I106" t="s">
        <v>35</v>
      </c>
      <c r="J106"/>
      <c r="K106">
        <v>6.78</v>
      </c>
      <c r="L106">
        <v>0.0</v>
      </c>
      <c r="M106"/>
      <c r="N106"/>
      <c r="O106">
        <v>1.22</v>
      </c>
      <c r="P106">
        <v>0.0</v>
      </c>
      <c r="Q106">
        <v>8.0</v>
      </c>
      <c r="R106"/>
      <c r="S106"/>
      <c r="T106"/>
      <c r="U106"/>
      <c r="V106"/>
      <c r="W106">
        <v>18</v>
      </c>
    </row>
    <row r="107" spans="1:23">
      <c r="A107"/>
      <c r="B107" t="s">
        <v>44</v>
      </c>
      <c r="C107" t="s">
        <v>44</v>
      </c>
      <c r="D107" t="s">
        <v>33</v>
      </c>
      <c r="E107" t="s">
        <v>34</v>
      </c>
      <c r="F107" t="str">
        <f>"0013757"</f>
        <v>0013757</v>
      </c>
      <c r="G107">
        <v>1</v>
      </c>
      <c r="H107" t="str">
        <f>"00000001"</f>
        <v>00000001</v>
      </c>
      <c r="I107" t="s">
        <v>35</v>
      </c>
      <c r="J107"/>
      <c r="K107">
        <v>5.51</v>
      </c>
      <c r="L107">
        <v>0.0</v>
      </c>
      <c r="M107"/>
      <c r="N107"/>
      <c r="O107">
        <v>0.99</v>
      </c>
      <c r="P107">
        <v>0.0</v>
      </c>
      <c r="Q107">
        <v>6.5</v>
      </c>
      <c r="R107"/>
      <c r="S107"/>
      <c r="T107"/>
      <c r="U107"/>
      <c r="V107"/>
      <c r="W107">
        <v>18</v>
      </c>
    </row>
    <row r="108" spans="1:23">
      <c r="A108"/>
      <c r="B108" t="s">
        <v>44</v>
      </c>
      <c r="C108" t="s">
        <v>44</v>
      </c>
      <c r="D108" t="s">
        <v>33</v>
      </c>
      <c r="E108" t="s">
        <v>34</v>
      </c>
      <c r="F108" t="str">
        <f>"0013758"</f>
        <v>0013758</v>
      </c>
      <c r="G108">
        <v>1</v>
      </c>
      <c r="H108" t="str">
        <f>"00000001"</f>
        <v>00000001</v>
      </c>
      <c r="I108" t="s">
        <v>35</v>
      </c>
      <c r="J108"/>
      <c r="K108">
        <v>11.86</v>
      </c>
      <c r="L108">
        <v>0.0</v>
      </c>
      <c r="M108"/>
      <c r="N108"/>
      <c r="O108">
        <v>2.14</v>
      </c>
      <c r="P108">
        <v>0.0</v>
      </c>
      <c r="Q108">
        <v>14.0</v>
      </c>
      <c r="R108"/>
      <c r="S108"/>
      <c r="T108"/>
      <c r="U108"/>
      <c r="V108"/>
      <c r="W108">
        <v>18</v>
      </c>
    </row>
    <row r="109" spans="1:23">
      <c r="A109"/>
      <c r="B109" t="s">
        <v>49</v>
      </c>
      <c r="C109" t="s">
        <v>49</v>
      </c>
      <c r="D109" t="s">
        <v>33</v>
      </c>
      <c r="E109" t="s">
        <v>34</v>
      </c>
      <c r="F109" t="str">
        <f>"0013759"</f>
        <v>0013759</v>
      </c>
      <c r="G109">
        <v>1</v>
      </c>
      <c r="H109" t="str">
        <f>"00000001"</f>
        <v>00000001</v>
      </c>
      <c r="I109" t="s">
        <v>35</v>
      </c>
      <c r="J109"/>
      <c r="K109">
        <v>21.19</v>
      </c>
      <c r="L109">
        <v>0.0</v>
      </c>
      <c r="M109"/>
      <c r="N109"/>
      <c r="O109">
        <v>3.81</v>
      </c>
      <c r="P109">
        <v>0.0</v>
      </c>
      <c r="Q109">
        <v>25.0</v>
      </c>
      <c r="R109"/>
      <c r="S109"/>
      <c r="T109"/>
      <c r="U109"/>
      <c r="V109"/>
      <c r="W109">
        <v>18</v>
      </c>
    </row>
    <row r="110" spans="1:23">
      <c r="A110"/>
      <c r="B110" t="s">
        <v>49</v>
      </c>
      <c r="C110" t="s">
        <v>49</v>
      </c>
      <c r="D110" t="s">
        <v>33</v>
      </c>
      <c r="E110" t="s">
        <v>34</v>
      </c>
      <c r="F110" t="str">
        <f>"0013760"</f>
        <v>0013760</v>
      </c>
      <c r="G110">
        <v>1</v>
      </c>
      <c r="H110" t="str">
        <f>"00000001"</f>
        <v>00000001</v>
      </c>
      <c r="I110" t="s">
        <v>35</v>
      </c>
      <c r="J110"/>
      <c r="K110">
        <v>16.95</v>
      </c>
      <c r="L110">
        <v>0.0</v>
      </c>
      <c r="M110"/>
      <c r="N110"/>
      <c r="O110">
        <v>3.05</v>
      </c>
      <c r="P110">
        <v>0.0</v>
      </c>
      <c r="Q110">
        <v>20.0</v>
      </c>
      <c r="R110"/>
      <c r="S110"/>
      <c r="T110"/>
      <c r="U110"/>
      <c r="V110"/>
      <c r="W110">
        <v>18</v>
      </c>
    </row>
    <row r="111" spans="1:23">
      <c r="A111"/>
      <c r="B111" t="s">
        <v>49</v>
      </c>
      <c r="C111" t="s">
        <v>49</v>
      </c>
      <c r="D111" t="s">
        <v>33</v>
      </c>
      <c r="E111" t="s">
        <v>34</v>
      </c>
      <c r="F111" t="str">
        <f>"0013761"</f>
        <v>0013761</v>
      </c>
      <c r="G111">
        <v>1</v>
      </c>
      <c r="H111" t="str">
        <f>"00000001"</f>
        <v>00000001</v>
      </c>
      <c r="I111" t="s">
        <v>35</v>
      </c>
      <c r="J111"/>
      <c r="K111">
        <v>19.07</v>
      </c>
      <c r="L111">
        <v>0.0</v>
      </c>
      <c r="M111"/>
      <c r="N111"/>
      <c r="O111">
        <v>3.43</v>
      </c>
      <c r="P111">
        <v>0.0</v>
      </c>
      <c r="Q111">
        <v>22.5</v>
      </c>
      <c r="R111"/>
      <c r="S111"/>
      <c r="T111"/>
      <c r="U111"/>
      <c r="V111"/>
      <c r="W111">
        <v>18</v>
      </c>
    </row>
    <row r="112" spans="1:23">
      <c r="A112"/>
      <c r="B112" t="s">
        <v>49</v>
      </c>
      <c r="C112" t="s">
        <v>49</v>
      </c>
      <c r="D112" t="s">
        <v>33</v>
      </c>
      <c r="E112" t="s">
        <v>34</v>
      </c>
      <c r="F112" t="str">
        <f>"0013762"</f>
        <v>0013762</v>
      </c>
      <c r="G112">
        <v>1</v>
      </c>
      <c r="H112" t="str">
        <f>"00000001"</f>
        <v>00000001</v>
      </c>
      <c r="I112" t="s">
        <v>35</v>
      </c>
      <c r="J112"/>
      <c r="K112">
        <v>5.51</v>
      </c>
      <c r="L112">
        <v>0.0</v>
      </c>
      <c r="M112"/>
      <c r="N112"/>
      <c r="O112">
        <v>0.99</v>
      </c>
      <c r="P112">
        <v>0.0</v>
      </c>
      <c r="Q112">
        <v>6.5</v>
      </c>
      <c r="R112"/>
      <c r="S112"/>
      <c r="T112"/>
      <c r="U112"/>
      <c r="V112"/>
      <c r="W112">
        <v>18</v>
      </c>
    </row>
    <row r="113" spans="1:23">
      <c r="A113"/>
      <c r="B113" t="s">
        <v>49</v>
      </c>
      <c r="C113" t="s">
        <v>49</v>
      </c>
      <c r="D113" t="s">
        <v>33</v>
      </c>
      <c r="E113" t="s">
        <v>34</v>
      </c>
      <c r="F113" t="str">
        <f>"0013763"</f>
        <v>0013763</v>
      </c>
      <c r="G113">
        <v>1</v>
      </c>
      <c r="H113" t="str">
        <f>"00000001"</f>
        <v>00000001</v>
      </c>
      <c r="I113" t="s">
        <v>35</v>
      </c>
      <c r="J113"/>
      <c r="K113">
        <v>23.73</v>
      </c>
      <c r="L113">
        <v>0.0</v>
      </c>
      <c r="M113"/>
      <c r="N113"/>
      <c r="O113">
        <v>4.27</v>
      </c>
      <c r="P113">
        <v>0.0</v>
      </c>
      <c r="Q113">
        <v>28.0</v>
      </c>
      <c r="R113"/>
      <c r="S113"/>
      <c r="T113"/>
      <c r="U113"/>
      <c r="V113"/>
      <c r="W113">
        <v>18</v>
      </c>
    </row>
    <row r="114" spans="1:23">
      <c r="A114"/>
      <c r="B114" t="s">
        <v>49</v>
      </c>
      <c r="C114" t="s">
        <v>49</v>
      </c>
      <c r="D114" t="s">
        <v>33</v>
      </c>
      <c r="E114" t="s">
        <v>34</v>
      </c>
      <c r="F114" t="str">
        <f>"0013764"</f>
        <v>0013764</v>
      </c>
      <c r="G114">
        <v>1</v>
      </c>
      <c r="H114" t="str">
        <f>"00000001"</f>
        <v>00000001</v>
      </c>
      <c r="I114" t="s">
        <v>35</v>
      </c>
      <c r="J114"/>
      <c r="K114">
        <v>37.29</v>
      </c>
      <c r="L114">
        <v>0.0</v>
      </c>
      <c r="M114"/>
      <c r="N114"/>
      <c r="O114">
        <v>6.71</v>
      </c>
      <c r="P114">
        <v>0.0</v>
      </c>
      <c r="Q114">
        <v>44.0</v>
      </c>
      <c r="R114"/>
      <c r="S114"/>
      <c r="T114"/>
      <c r="U114"/>
      <c r="V114"/>
      <c r="W114">
        <v>18</v>
      </c>
    </row>
    <row r="115" spans="1:23">
      <c r="A115"/>
      <c r="B115" t="s">
        <v>49</v>
      </c>
      <c r="C115" t="s">
        <v>49</v>
      </c>
      <c r="D115" t="s">
        <v>33</v>
      </c>
      <c r="E115" t="s">
        <v>34</v>
      </c>
      <c r="F115" t="str">
        <f>"0013765"</f>
        <v>0013765</v>
      </c>
      <c r="G115">
        <v>1</v>
      </c>
      <c r="H115" t="str">
        <f>"00000001"</f>
        <v>00000001</v>
      </c>
      <c r="I115" t="s">
        <v>35</v>
      </c>
      <c r="J115"/>
      <c r="K115">
        <v>2.54</v>
      </c>
      <c r="L115">
        <v>0.0</v>
      </c>
      <c r="M115"/>
      <c r="N115"/>
      <c r="O115">
        <v>0.46</v>
      </c>
      <c r="P115">
        <v>0.0</v>
      </c>
      <c r="Q115">
        <v>3.0</v>
      </c>
      <c r="R115"/>
      <c r="S115"/>
      <c r="T115"/>
      <c r="U115"/>
      <c r="V115"/>
      <c r="W115">
        <v>18</v>
      </c>
    </row>
    <row r="116" spans="1:23">
      <c r="A116"/>
      <c r="B116" t="s">
        <v>49</v>
      </c>
      <c r="C116" t="s">
        <v>49</v>
      </c>
      <c r="D116" t="s">
        <v>33</v>
      </c>
      <c r="E116" t="s">
        <v>34</v>
      </c>
      <c r="F116" t="str">
        <f>"0013766"</f>
        <v>0013766</v>
      </c>
      <c r="G116">
        <v>1</v>
      </c>
      <c r="H116" t="str">
        <f>"70658712"</f>
        <v>70658712</v>
      </c>
      <c r="I116" t="s">
        <v>50</v>
      </c>
      <c r="J116"/>
      <c r="K116">
        <v>14.41</v>
      </c>
      <c r="L116">
        <v>0.0</v>
      </c>
      <c r="M116"/>
      <c r="N116"/>
      <c r="O116">
        <v>2.59</v>
      </c>
      <c r="P116">
        <v>0.0</v>
      </c>
      <c r="Q116">
        <v>17.0</v>
      </c>
      <c r="R116"/>
      <c r="S116"/>
      <c r="T116"/>
      <c r="U116"/>
      <c r="V116"/>
      <c r="W116">
        <v>18</v>
      </c>
    </row>
    <row r="117" spans="1:23">
      <c r="A117"/>
      <c r="B117" t="s">
        <v>49</v>
      </c>
      <c r="C117" t="s">
        <v>49</v>
      </c>
      <c r="D117" t="s">
        <v>33</v>
      </c>
      <c r="E117" t="s">
        <v>34</v>
      </c>
      <c r="F117" t="str">
        <f>"0013767"</f>
        <v>0013767</v>
      </c>
      <c r="G117">
        <v>1</v>
      </c>
      <c r="H117" t="str">
        <f>"00000001"</f>
        <v>00000001</v>
      </c>
      <c r="I117" t="s">
        <v>35</v>
      </c>
      <c r="J117"/>
      <c r="K117">
        <v>38.14</v>
      </c>
      <c r="L117">
        <v>0.0</v>
      </c>
      <c r="M117"/>
      <c r="N117"/>
      <c r="O117">
        <v>6.86</v>
      </c>
      <c r="P117">
        <v>0.0</v>
      </c>
      <c r="Q117">
        <v>45.0</v>
      </c>
      <c r="R117"/>
      <c r="S117"/>
      <c r="T117"/>
      <c r="U117"/>
      <c r="V117"/>
      <c r="W117">
        <v>18</v>
      </c>
    </row>
    <row r="118" spans="1:23">
      <c r="A118"/>
      <c r="B118" t="s">
        <v>49</v>
      </c>
      <c r="C118" t="s">
        <v>49</v>
      </c>
      <c r="D118" t="s">
        <v>33</v>
      </c>
      <c r="E118" t="s">
        <v>34</v>
      </c>
      <c r="F118" t="str">
        <f>"0013768"</f>
        <v>0013768</v>
      </c>
      <c r="G118">
        <v>1</v>
      </c>
      <c r="H118" t="str">
        <f>"00000001"</f>
        <v>00000001</v>
      </c>
      <c r="I118" t="s">
        <v>35</v>
      </c>
      <c r="J118"/>
      <c r="K118">
        <v>12.71</v>
      </c>
      <c r="L118">
        <v>0.0</v>
      </c>
      <c r="M118"/>
      <c r="N118"/>
      <c r="O118">
        <v>2.29</v>
      </c>
      <c r="P118">
        <v>0.0</v>
      </c>
      <c r="Q118">
        <v>15.0</v>
      </c>
      <c r="R118"/>
      <c r="S118"/>
      <c r="T118"/>
      <c r="U118"/>
      <c r="V118"/>
      <c r="W118">
        <v>18</v>
      </c>
    </row>
    <row r="119" spans="1:23">
      <c r="A119"/>
      <c r="B119" t="s">
        <v>49</v>
      </c>
      <c r="C119" t="s">
        <v>49</v>
      </c>
      <c r="D119" t="s">
        <v>33</v>
      </c>
      <c r="E119" t="s">
        <v>34</v>
      </c>
      <c r="F119" t="str">
        <f>"0013769"</f>
        <v>0013769</v>
      </c>
      <c r="G119">
        <v>1</v>
      </c>
      <c r="H119" t="str">
        <f>"00000001"</f>
        <v>00000001</v>
      </c>
      <c r="I119" t="s">
        <v>35</v>
      </c>
      <c r="J119"/>
      <c r="K119">
        <v>4.24</v>
      </c>
      <c r="L119">
        <v>0.0</v>
      </c>
      <c r="M119"/>
      <c r="N119"/>
      <c r="O119">
        <v>0.76</v>
      </c>
      <c r="P119">
        <v>0.0</v>
      </c>
      <c r="Q119">
        <v>5.0</v>
      </c>
      <c r="R119"/>
      <c r="S119"/>
      <c r="T119"/>
      <c r="U119"/>
      <c r="V119"/>
      <c r="W119">
        <v>18</v>
      </c>
    </row>
    <row r="120" spans="1:23">
      <c r="A120"/>
      <c r="B120" t="s">
        <v>49</v>
      </c>
      <c r="C120" t="s">
        <v>49</v>
      </c>
      <c r="D120" t="s">
        <v>33</v>
      </c>
      <c r="E120" t="s">
        <v>34</v>
      </c>
      <c r="F120" t="str">
        <f>"0013770"</f>
        <v>0013770</v>
      </c>
      <c r="G120">
        <v>1</v>
      </c>
      <c r="H120" t="str">
        <f>"00000001"</f>
        <v>00000001</v>
      </c>
      <c r="I120" t="s">
        <v>35</v>
      </c>
      <c r="J120"/>
      <c r="K120">
        <v>13.56</v>
      </c>
      <c r="L120">
        <v>0.0</v>
      </c>
      <c r="M120"/>
      <c r="N120"/>
      <c r="O120">
        <v>2.44</v>
      </c>
      <c r="P120">
        <v>0.0</v>
      </c>
      <c r="Q120">
        <v>16.0</v>
      </c>
      <c r="R120"/>
      <c r="S120"/>
      <c r="T120"/>
      <c r="U120"/>
      <c r="V120"/>
      <c r="W120">
        <v>18</v>
      </c>
    </row>
    <row r="121" spans="1:23">
      <c r="A121"/>
      <c r="B121" t="s">
        <v>49</v>
      </c>
      <c r="C121" t="s">
        <v>49</v>
      </c>
      <c r="D121" t="s">
        <v>33</v>
      </c>
      <c r="E121" t="s">
        <v>34</v>
      </c>
      <c r="F121" t="str">
        <f>"0013771"</f>
        <v>0013771</v>
      </c>
      <c r="G121">
        <v>1</v>
      </c>
      <c r="H121" t="str">
        <f>"00000001"</f>
        <v>00000001</v>
      </c>
      <c r="I121" t="s">
        <v>35</v>
      </c>
      <c r="J121"/>
      <c r="K121">
        <v>1.27</v>
      </c>
      <c r="L121">
        <v>0.0</v>
      </c>
      <c r="M121"/>
      <c r="N121"/>
      <c r="O121">
        <v>0.23</v>
      </c>
      <c r="P121">
        <v>0.0</v>
      </c>
      <c r="Q121">
        <v>1.5</v>
      </c>
      <c r="R121"/>
      <c r="S121"/>
      <c r="T121"/>
      <c r="U121"/>
      <c r="V121"/>
      <c r="W121">
        <v>18</v>
      </c>
    </row>
    <row r="122" spans="1:23">
      <c r="A122"/>
      <c r="B122" t="s">
        <v>49</v>
      </c>
      <c r="C122" t="s">
        <v>49</v>
      </c>
      <c r="D122" t="s">
        <v>40</v>
      </c>
      <c r="E122" t="s">
        <v>41</v>
      </c>
      <c r="F122" t="str">
        <f>"0001263"</f>
        <v>0001263</v>
      </c>
      <c r="G122">
        <v>6</v>
      </c>
      <c r="H122" t="str">
        <f>"20369155360"</f>
        <v>20369155360</v>
      </c>
      <c r="I122" t="s">
        <v>51</v>
      </c>
      <c r="J122"/>
      <c r="K122">
        <v>3.39</v>
      </c>
      <c r="L122">
        <v>0.0</v>
      </c>
      <c r="M122"/>
      <c r="N122"/>
      <c r="O122">
        <v>0.61</v>
      </c>
      <c r="P122">
        <v>0.0</v>
      </c>
      <c r="Q122">
        <v>4.0</v>
      </c>
      <c r="R122"/>
      <c r="S122"/>
      <c r="T122"/>
      <c r="U122"/>
      <c r="V122"/>
      <c r="W122">
        <v>18</v>
      </c>
    </row>
    <row r="123" spans="1:23">
      <c r="A123"/>
      <c r="B123" t="s">
        <v>49</v>
      </c>
      <c r="C123" t="s">
        <v>49</v>
      </c>
      <c r="D123" t="s">
        <v>33</v>
      </c>
      <c r="E123" t="s">
        <v>34</v>
      </c>
      <c r="F123" t="str">
        <f>"0013772"</f>
        <v>0013772</v>
      </c>
      <c r="G123">
        <v>1</v>
      </c>
      <c r="H123" t="str">
        <f>"00000001"</f>
        <v>00000001</v>
      </c>
      <c r="I123" t="s">
        <v>35</v>
      </c>
      <c r="J123"/>
      <c r="K123">
        <v>8.47</v>
      </c>
      <c r="L123">
        <v>0.0</v>
      </c>
      <c r="M123"/>
      <c r="N123"/>
      <c r="O123">
        <v>1.53</v>
      </c>
      <c r="P123">
        <v>0.0</v>
      </c>
      <c r="Q123">
        <v>10.0</v>
      </c>
      <c r="R123"/>
      <c r="S123"/>
      <c r="T123"/>
      <c r="U123"/>
      <c r="V123"/>
      <c r="W123">
        <v>18</v>
      </c>
    </row>
    <row r="124" spans="1:23">
      <c r="A124"/>
      <c r="B124" t="s">
        <v>49</v>
      </c>
      <c r="C124" t="s">
        <v>49</v>
      </c>
      <c r="D124" t="s">
        <v>33</v>
      </c>
      <c r="E124" t="s">
        <v>34</v>
      </c>
      <c r="F124" t="str">
        <f>"0013773"</f>
        <v>0013773</v>
      </c>
      <c r="G124">
        <v>1</v>
      </c>
      <c r="H124" t="str">
        <f>"00000001"</f>
        <v>00000001</v>
      </c>
      <c r="I124" t="s">
        <v>35</v>
      </c>
      <c r="J124"/>
      <c r="K124">
        <v>10.17</v>
      </c>
      <c r="L124">
        <v>0.0</v>
      </c>
      <c r="M124"/>
      <c r="N124"/>
      <c r="O124">
        <v>1.83</v>
      </c>
      <c r="P124">
        <v>0.0</v>
      </c>
      <c r="Q124">
        <v>12.0</v>
      </c>
      <c r="R124"/>
      <c r="S124"/>
      <c r="T124"/>
      <c r="U124"/>
      <c r="V124"/>
      <c r="W124">
        <v>18</v>
      </c>
    </row>
    <row r="125" spans="1:23">
      <c r="A125"/>
      <c r="B125" t="s">
        <v>49</v>
      </c>
      <c r="C125" t="s">
        <v>49</v>
      </c>
      <c r="D125" t="s">
        <v>33</v>
      </c>
      <c r="E125" t="s">
        <v>34</v>
      </c>
      <c r="F125" t="str">
        <f>"0013774"</f>
        <v>0013774</v>
      </c>
      <c r="G125">
        <v>1</v>
      </c>
      <c r="H125" t="str">
        <f>"00000001"</f>
        <v>00000001</v>
      </c>
      <c r="I125" t="s">
        <v>35</v>
      </c>
      <c r="J125"/>
      <c r="K125">
        <v>20.34</v>
      </c>
      <c r="L125">
        <v>0.0</v>
      </c>
      <c r="M125"/>
      <c r="N125"/>
      <c r="O125">
        <v>3.66</v>
      </c>
      <c r="P125">
        <v>0.0</v>
      </c>
      <c r="Q125">
        <v>24.0</v>
      </c>
      <c r="R125"/>
      <c r="S125"/>
      <c r="T125"/>
      <c r="U125"/>
      <c r="V125"/>
      <c r="W125">
        <v>18</v>
      </c>
    </row>
    <row r="126" spans="1:23">
      <c r="A126"/>
      <c r="B126" t="s">
        <v>49</v>
      </c>
      <c r="C126" t="s">
        <v>49</v>
      </c>
      <c r="D126" t="s">
        <v>33</v>
      </c>
      <c r="E126" t="s">
        <v>34</v>
      </c>
      <c r="F126" t="str">
        <f>"0013775"</f>
        <v>0013775</v>
      </c>
      <c r="G126">
        <v>1</v>
      </c>
      <c r="H126" t="str">
        <f>"00000001"</f>
        <v>00000001</v>
      </c>
      <c r="I126" t="s">
        <v>35</v>
      </c>
      <c r="J126"/>
      <c r="K126">
        <v>50.85</v>
      </c>
      <c r="L126">
        <v>0.0</v>
      </c>
      <c r="M126"/>
      <c r="N126"/>
      <c r="O126">
        <v>9.15</v>
      </c>
      <c r="P126">
        <v>0.0</v>
      </c>
      <c r="Q126">
        <v>60.0</v>
      </c>
      <c r="R126"/>
      <c r="S126"/>
      <c r="T126"/>
      <c r="U126"/>
      <c r="V126"/>
      <c r="W126">
        <v>18</v>
      </c>
    </row>
    <row r="127" spans="1:23">
      <c r="A127"/>
      <c r="B127" t="s">
        <v>49</v>
      </c>
      <c r="C127" t="s">
        <v>49</v>
      </c>
      <c r="D127" t="s">
        <v>33</v>
      </c>
      <c r="E127" t="s">
        <v>34</v>
      </c>
      <c r="F127" t="str">
        <f>"0013776"</f>
        <v>0013776</v>
      </c>
      <c r="G127">
        <v>1</v>
      </c>
      <c r="H127" t="str">
        <f>"00000001"</f>
        <v>00000001</v>
      </c>
      <c r="I127" t="s">
        <v>35</v>
      </c>
      <c r="J127"/>
      <c r="K127">
        <v>5.93</v>
      </c>
      <c r="L127">
        <v>0.0</v>
      </c>
      <c r="M127"/>
      <c r="N127"/>
      <c r="O127">
        <v>1.07</v>
      </c>
      <c r="P127">
        <v>0.0</v>
      </c>
      <c r="Q127">
        <v>7.0</v>
      </c>
      <c r="R127"/>
      <c r="S127"/>
      <c r="T127"/>
      <c r="U127"/>
      <c r="V127"/>
      <c r="W127">
        <v>18</v>
      </c>
    </row>
    <row r="128" spans="1:23">
      <c r="A128"/>
      <c r="B128" t="s">
        <v>49</v>
      </c>
      <c r="C128" t="s">
        <v>49</v>
      </c>
      <c r="D128" t="s">
        <v>33</v>
      </c>
      <c r="E128" t="s">
        <v>34</v>
      </c>
      <c r="F128" t="str">
        <f>"0013777"</f>
        <v>0013777</v>
      </c>
      <c r="G128">
        <v>1</v>
      </c>
      <c r="H128" t="str">
        <f>"00000001"</f>
        <v>00000001</v>
      </c>
      <c r="I128" t="s">
        <v>35</v>
      </c>
      <c r="J128"/>
      <c r="K128">
        <v>16.95</v>
      </c>
      <c r="L128">
        <v>0.0</v>
      </c>
      <c r="M128"/>
      <c r="N128"/>
      <c r="O128">
        <v>3.05</v>
      </c>
      <c r="P128">
        <v>0.0</v>
      </c>
      <c r="Q128">
        <v>20.0</v>
      </c>
      <c r="R128"/>
      <c r="S128"/>
      <c r="T128"/>
      <c r="U128"/>
      <c r="V128"/>
      <c r="W128">
        <v>18</v>
      </c>
    </row>
    <row r="129" spans="1:23">
      <c r="A129"/>
      <c r="B129" t="s">
        <v>49</v>
      </c>
      <c r="C129" t="s">
        <v>49</v>
      </c>
      <c r="D129" t="s">
        <v>33</v>
      </c>
      <c r="E129" t="s">
        <v>34</v>
      </c>
      <c r="F129" t="str">
        <f>"0013778"</f>
        <v>0013778</v>
      </c>
      <c r="G129">
        <v>1</v>
      </c>
      <c r="H129" t="str">
        <f>"00000001"</f>
        <v>00000001</v>
      </c>
      <c r="I129" t="s">
        <v>35</v>
      </c>
      <c r="J129"/>
      <c r="K129">
        <v>5.08</v>
      </c>
      <c r="L129">
        <v>0.0</v>
      </c>
      <c r="M129"/>
      <c r="N129"/>
      <c r="O129">
        <v>0.92</v>
      </c>
      <c r="P129">
        <v>0.0</v>
      </c>
      <c r="Q129">
        <v>6.0</v>
      </c>
      <c r="R129"/>
      <c r="S129"/>
      <c r="T129"/>
      <c r="U129"/>
      <c r="V129"/>
      <c r="W129">
        <v>18</v>
      </c>
    </row>
    <row r="130" spans="1:23">
      <c r="A130"/>
      <c r="B130" t="s">
        <v>49</v>
      </c>
      <c r="C130" t="s">
        <v>49</v>
      </c>
      <c r="D130" t="s">
        <v>33</v>
      </c>
      <c r="E130" t="s">
        <v>34</v>
      </c>
      <c r="F130" t="str">
        <f>"0013779"</f>
        <v>0013779</v>
      </c>
      <c r="G130">
        <v>1</v>
      </c>
      <c r="H130" t="str">
        <f>"00000001"</f>
        <v>00000001</v>
      </c>
      <c r="I130" t="s">
        <v>35</v>
      </c>
      <c r="J130"/>
      <c r="K130">
        <v>13.56</v>
      </c>
      <c r="L130">
        <v>0.0</v>
      </c>
      <c r="M130"/>
      <c r="N130"/>
      <c r="O130">
        <v>2.44</v>
      </c>
      <c r="P130">
        <v>0.0</v>
      </c>
      <c r="Q130">
        <v>16.0</v>
      </c>
      <c r="R130"/>
      <c r="S130"/>
      <c r="T130"/>
      <c r="U130"/>
      <c r="V130"/>
      <c r="W130">
        <v>18</v>
      </c>
    </row>
    <row r="131" spans="1:23">
      <c r="A131"/>
      <c r="B131" t="s">
        <v>49</v>
      </c>
      <c r="C131" t="s">
        <v>49</v>
      </c>
      <c r="D131" t="s">
        <v>33</v>
      </c>
      <c r="E131" t="s">
        <v>34</v>
      </c>
      <c r="F131" t="str">
        <f>"0013780"</f>
        <v>0013780</v>
      </c>
      <c r="G131">
        <v>1</v>
      </c>
      <c r="H131" t="str">
        <f>"00000001"</f>
        <v>00000001</v>
      </c>
      <c r="I131" t="s">
        <v>35</v>
      </c>
      <c r="J131"/>
      <c r="K131">
        <v>76.27</v>
      </c>
      <c r="L131">
        <v>0.0</v>
      </c>
      <c r="M131"/>
      <c r="N131"/>
      <c r="O131">
        <v>13.73</v>
      </c>
      <c r="P131">
        <v>0.0</v>
      </c>
      <c r="Q131">
        <v>90.0</v>
      </c>
      <c r="R131"/>
      <c r="S131"/>
      <c r="T131"/>
      <c r="U131"/>
      <c r="V131"/>
      <c r="W131">
        <v>18</v>
      </c>
    </row>
    <row r="132" spans="1:23">
      <c r="A132"/>
      <c r="B132" t="s">
        <v>49</v>
      </c>
      <c r="C132" t="s">
        <v>49</v>
      </c>
      <c r="D132" t="s">
        <v>33</v>
      </c>
      <c r="E132" t="s">
        <v>34</v>
      </c>
      <c r="F132" t="str">
        <f>"0013781"</f>
        <v>0013781</v>
      </c>
      <c r="G132">
        <v>1</v>
      </c>
      <c r="H132" t="str">
        <f>"00000001"</f>
        <v>00000001</v>
      </c>
      <c r="I132" t="s">
        <v>35</v>
      </c>
      <c r="J132"/>
      <c r="K132">
        <v>15.25</v>
      </c>
      <c r="L132">
        <v>0.0</v>
      </c>
      <c r="M132"/>
      <c r="N132"/>
      <c r="O132">
        <v>2.75</v>
      </c>
      <c r="P132">
        <v>0.0</v>
      </c>
      <c r="Q132">
        <v>18.0</v>
      </c>
      <c r="R132"/>
      <c r="S132"/>
      <c r="T132"/>
      <c r="U132"/>
      <c r="V132"/>
      <c r="W132">
        <v>18</v>
      </c>
    </row>
    <row r="133" spans="1:23">
      <c r="A133"/>
      <c r="B133" t="s">
        <v>49</v>
      </c>
      <c r="C133" t="s">
        <v>49</v>
      </c>
      <c r="D133" t="s">
        <v>33</v>
      </c>
      <c r="E133" t="s">
        <v>34</v>
      </c>
      <c r="F133" t="str">
        <f>"0013782"</f>
        <v>0013782</v>
      </c>
      <c r="G133">
        <v>1</v>
      </c>
      <c r="H133" t="str">
        <f>"00000001"</f>
        <v>00000001</v>
      </c>
      <c r="I133" t="s">
        <v>35</v>
      </c>
      <c r="J133"/>
      <c r="K133">
        <v>6.78</v>
      </c>
      <c r="L133">
        <v>0.0</v>
      </c>
      <c r="M133"/>
      <c r="N133"/>
      <c r="O133">
        <v>1.22</v>
      </c>
      <c r="P133">
        <v>0.0</v>
      </c>
      <c r="Q133">
        <v>8.0</v>
      </c>
      <c r="R133"/>
      <c r="S133"/>
      <c r="T133"/>
      <c r="U133"/>
      <c r="V133"/>
      <c r="W133">
        <v>18</v>
      </c>
    </row>
    <row r="134" spans="1:23">
      <c r="A134"/>
      <c r="B134" t="s">
        <v>49</v>
      </c>
      <c r="C134" t="s">
        <v>49</v>
      </c>
      <c r="D134" t="s">
        <v>33</v>
      </c>
      <c r="E134" t="s">
        <v>34</v>
      </c>
      <c r="F134" t="str">
        <f>"0013783"</f>
        <v>0013783</v>
      </c>
      <c r="G134">
        <v>1</v>
      </c>
      <c r="H134" t="str">
        <f>"00000001"</f>
        <v>00000001</v>
      </c>
      <c r="I134" t="s">
        <v>35</v>
      </c>
      <c r="J134"/>
      <c r="K134">
        <v>2.54</v>
      </c>
      <c r="L134">
        <v>0.0</v>
      </c>
      <c r="M134"/>
      <c r="N134"/>
      <c r="O134">
        <v>0.46</v>
      </c>
      <c r="P134">
        <v>0.0</v>
      </c>
      <c r="Q134">
        <v>3.0</v>
      </c>
      <c r="R134"/>
      <c r="S134"/>
      <c r="T134"/>
      <c r="U134"/>
      <c r="V134"/>
      <c r="W134">
        <v>18</v>
      </c>
    </row>
    <row r="135" spans="1:23">
      <c r="A135"/>
      <c r="B135" t="s">
        <v>49</v>
      </c>
      <c r="C135" t="s">
        <v>49</v>
      </c>
      <c r="D135" t="s">
        <v>33</v>
      </c>
      <c r="E135" t="s">
        <v>34</v>
      </c>
      <c r="F135" t="str">
        <f>"0013784"</f>
        <v>0013784</v>
      </c>
      <c r="G135">
        <v>1</v>
      </c>
      <c r="H135" t="str">
        <f>"00000001"</f>
        <v>00000001</v>
      </c>
      <c r="I135" t="s">
        <v>35</v>
      </c>
      <c r="J135"/>
      <c r="K135">
        <v>3.39</v>
      </c>
      <c r="L135">
        <v>0.0</v>
      </c>
      <c r="M135"/>
      <c r="N135"/>
      <c r="O135">
        <v>0.61</v>
      </c>
      <c r="P135">
        <v>0.0</v>
      </c>
      <c r="Q135">
        <v>4.0</v>
      </c>
      <c r="R135"/>
      <c r="S135"/>
      <c r="T135"/>
      <c r="U135"/>
      <c r="V135"/>
      <c r="W135">
        <v>18</v>
      </c>
    </row>
    <row r="136" spans="1:23">
      <c r="A136"/>
      <c r="B136" t="s">
        <v>49</v>
      </c>
      <c r="C136" t="s">
        <v>49</v>
      </c>
      <c r="D136" t="s">
        <v>33</v>
      </c>
      <c r="E136" t="s">
        <v>34</v>
      </c>
      <c r="F136" t="str">
        <f>"0013785"</f>
        <v>0013785</v>
      </c>
      <c r="G136">
        <v>1</v>
      </c>
      <c r="H136" t="str">
        <f>"00000001"</f>
        <v>00000001</v>
      </c>
      <c r="I136" t="s">
        <v>35</v>
      </c>
      <c r="J136"/>
      <c r="K136">
        <v>33.9</v>
      </c>
      <c r="L136">
        <v>0.0</v>
      </c>
      <c r="M136"/>
      <c r="N136"/>
      <c r="O136">
        <v>6.1</v>
      </c>
      <c r="P136">
        <v>0.0</v>
      </c>
      <c r="Q136">
        <v>40.0</v>
      </c>
      <c r="R136"/>
      <c r="S136"/>
      <c r="T136"/>
      <c r="U136"/>
      <c r="V136"/>
      <c r="W136">
        <v>18</v>
      </c>
    </row>
    <row r="137" spans="1:23">
      <c r="A137"/>
      <c r="B137" t="s">
        <v>49</v>
      </c>
      <c r="C137" t="s">
        <v>49</v>
      </c>
      <c r="D137" t="s">
        <v>33</v>
      </c>
      <c r="E137" t="s">
        <v>34</v>
      </c>
      <c r="F137" t="str">
        <f>"0013786"</f>
        <v>0013786</v>
      </c>
      <c r="G137">
        <v>1</v>
      </c>
      <c r="H137" t="str">
        <f>"00000001"</f>
        <v>00000001</v>
      </c>
      <c r="I137" t="s">
        <v>35</v>
      </c>
      <c r="J137"/>
      <c r="K137">
        <v>25.42</v>
      </c>
      <c r="L137">
        <v>0.0</v>
      </c>
      <c r="M137"/>
      <c r="N137"/>
      <c r="O137">
        <v>4.58</v>
      </c>
      <c r="P137">
        <v>0.0</v>
      </c>
      <c r="Q137">
        <v>30.0</v>
      </c>
      <c r="R137"/>
      <c r="S137"/>
      <c r="T137"/>
      <c r="U137"/>
      <c r="V137"/>
      <c r="W137">
        <v>18</v>
      </c>
    </row>
    <row r="138" spans="1:23">
      <c r="A138"/>
      <c r="B138" t="s">
        <v>49</v>
      </c>
      <c r="C138" t="s">
        <v>49</v>
      </c>
      <c r="D138" t="s">
        <v>33</v>
      </c>
      <c r="E138" t="s">
        <v>34</v>
      </c>
      <c r="F138" t="str">
        <f>"0013787"</f>
        <v>0013787</v>
      </c>
      <c r="G138">
        <v>1</v>
      </c>
      <c r="H138" t="str">
        <f>"00000001"</f>
        <v>00000001</v>
      </c>
      <c r="I138" t="s">
        <v>35</v>
      </c>
      <c r="J138"/>
      <c r="K138">
        <v>16.95</v>
      </c>
      <c r="L138">
        <v>0.0</v>
      </c>
      <c r="M138"/>
      <c r="N138"/>
      <c r="O138">
        <v>3.05</v>
      </c>
      <c r="P138">
        <v>0.0</v>
      </c>
      <c r="Q138">
        <v>20.0</v>
      </c>
      <c r="R138"/>
      <c r="S138"/>
      <c r="T138"/>
      <c r="U138"/>
      <c r="V138"/>
      <c r="W138">
        <v>18</v>
      </c>
    </row>
    <row r="139" spans="1:23">
      <c r="A139"/>
      <c r="B139" t="s">
        <v>49</v>
      </c>
      <c r="C139" t="s">
        <v>49</v>
      </c>
      <c r="D139" t="s">
        <v>33</v>
      </c>
      <c r="E139" t="s">
        <v>34</v>
      </c>
      <c r="F139" t="str">
        <f>"0013788"</f>
        <v>0013788</v>
      </c>
      <c r="G139">
        <v>1</v>
      </c>
      <c r="H139" t="str">
        <f>"00000001"</f>
        <v>00000001</v>
      </c>
      <c r="I139" t="s">
        <v>35</v>
      </c>
      <c r="J139"/>
      <c r="K139">
        <v>12.71</v>
      </c>
      <c r="L139">
        <v>0.0</v>
      </c>
      <c r="M139"/>
      <c r="N139"/>
      <c r="O139">
        <v>2.29</v>
      </c>
      <c r="P139">
        <v>0.0</v>
      </c>
      <c r="Q139">
        <v>15.0</v>
      </c>
      <c r="R139"/>
      <c r="S139"/>
      <c r="T139"/>
      <c r="U139"/>
      <c r="V139"/>
      <c r="W139">
        <v>18</v>
      </c>
    </row>
    <row r="140" spans="1:23">
      <c r="A140"/>
      <c r="B140" t="s">
        <v>49</v>
      </c>
      <c r="C140" t="s">
        <v>49</v>
      </c>
      <c r="D140" t="s">
        <v>33</v>
      </c>
      <c r="E140" t="s">
        <v>34</v>
      </c>
      <c r="F140" t="str">
        <f>"0013789"</f>
        <v>0013789</v>
      </c>
      <c r="G140">
        <v>1</v>
      </c>
      <c r="H140" t="str">
        <f>"00000001"</f>
        <v>00000001</v>
      </c>
      <c r="I140" t="s">
        <v>35</v>
      </c>
      <c r="J140"/>
      <c r="K140">
        <v>16.95</v>
      </c>
      <c r="L140">
        <v>0.0</v>
      </c>
      <c r="M140"/>
      <c r="N140"/>
      <c r="O140">
        <v>3.05</v>
      </c>
      <c r="P140">
        <v>0.0</v>
      </c>
      <c r="Q140">
        <v>20.0</v>
      </c>
      <c r="R140"/>
      <c r="S140"/>
      <c r="T140"/>
      <c r="U140"/>
      <c r="V140"/>
      <c r="W140">
        <v>18</v>
      </c>
    </row>
    <row r="141" spans="1:23">
      <c r="A141"/>
      <c r="B141" t="s">
        <v>49</v>
      </c>
      <c r="C141" t="s">
        <v>49</v>
      </c>
      <c r="D141" t="s">
        <v>33</v>
      </c>
      <c r="E141" t="s">
        <v>34</v>
      </c>
      <c r="F141" t="str">
        <f>"0013790"</f>
        <v>0013790</v>
      </c>
      <c r="G141">
        <v>1</v>
      </c>
      <c r="H141" t="str">
        <f>"00000001"</f>
        <v>00000001</v>
      </c>
      <c r="I141" t="s">
        <v>35</v>
      </c>
      <c r="J141"/>
      <c r="K141">
        <v>15.25</v>
      </c>
      <c r="L141">
        <v>0.0</v>
      </c>
      <c r="M141"/>
      <c r="N141"/>
      <c r="O141">
        <v>2.75</v>
      </c>
      <c r="P141">
        <v>0.0</v>
      </c>
      <c r="Q141">
        <v>18.0</v>
      </c>
      <c r="R141"/>
      <c r="S141"/>
      <c r="T141"/>
      <c r="U141"/>
      <c r="V141"/>
      <c r="W141">
        <v>18</v>
      </c>
    </row>
    <row r="142" spans="1:23">
      <c r="A142"/>
      <c r="B142" t="s">
        <v>49</v>
      </c>
      <c r="C142" t="s">
        <v>49</v>
      </c>
      <c r="D142" t="s">
        <v>33</v>
      </c>
      <c r="E142" t="s">
        <v>34</v>
      </c>
      <c r="F142" t="str">
        <f>"0013791"</f>
        <v>0013791</v>
      </c>
      <c r="G142">
        <v>1</v>
      </c>
      <c r="H142" t="str">
        <f>"00000001"</f>
        <v>00000001</v>
      </c>
      <c r="I142" t="s">
        <v>35</v>
      </c>
      <c r="J142"/>
      <c r="K142">
        <v>7.63</v>
      </c>
      <c r="L142">
        <v>0.0</v>
      </c>
      <c r="M142"/>
      <c r="N142"/>
      <c r="O142">
        <v>1.37</v>
      </c>
      <c r="P142">
        <v>0.0</v>
      </c>
      <c r="Q142">
        <v>9.0</v>
      </c>
      <c r="R142"/>
      <c r="S142"/>
      <c r="T142"/>
      <c r="U142"/>
      <c r="V142"/>
      <c r="W142">
        <v>18</v>
      </c>
    </row>
    <row r="143" spans="1:23">
      <c r="A143"/>
      <c r="B143" t="s">
        <v>49</v>
      </c>
      <c r="C143" t="s">
        <v>49</v>
      </c>
      <c r="D143" t="s">
        <v>33</v>
      </c>
      <c r="E143" t="s">
        <v>34</v>
      </c>
      <c r="F143" t="str">
        <f>"0013792"</f>
        <v>0013792</v>
      </c>
      <c r="G143">
        <v>1</v>
      </c>
      <c r="H143" t="str">
        <f>"00000001"</f>
        <v>00000001</v>
      </c>
      <c r="I143" t="s">
        <v>35</v>
      </c>
      <c r="J143"/>
      <c r="K143">
        <v>25.42</v>
      </c>
      <c r="L143">
        <v>0.0</v>
      </c>
      <c r="M143"/>
      <c r="N143"/>
      <c r="O143">
        <v>4.58</v>
      </c>
      <c r="P143">
        <v>0.0</v>
      </c>
      <c r="Q143">
        <v>30.0</v>
      </c>
      <c r="R143"/>
      <c r="S143"/>
      <c r="T143"/>
      <c r="U143"/>
      <c r="V143"/>
      <c r="W143">
        <v>18</v>
      </c>
    </row>
    <row r="144" spans="1:23">
      <c r="A144"/>
      <c r="B144" t="s">
        <v>49</v>
      </c>
      <c r="C144" t="s">
        <v>49</v>
      </c>
      <c r="D144" t="s">
        <v>33</v>
      </c>
      <c r="E144" t="s">
        <v>34</v>
      </c>
      <c r="F144" t="str">
        <f>"0013793"</f>
        <v>0013793</v>
      </c>
      <c r="G144">
        <v>1</v>
      </c>
      <c r="H144" t="str">
        <f>"00000001"</f>
        <v>00000001</v>
      </c>
      <c r="I144" t="s">
        <v>35</v>
      </c>
      <c r="J144"/>
      <c r="K144">
        <v>6.36</v>
      </c>
      <c r="L144">
        <v>0.0</v>
      </c>
      <c r="M144"/>
      <c r="N144"/>
      <c r="O144">
        <v>1.14</v>
      </c>
      <c r="P144">
        <v>0.0</v>
      </c>
      <c r="Q144">
        <v>7.5</v>
      </c>
      <c r="R144"/>
      <c r="S144"/>
      <c r="T144"/>
      <c r="U144"/>
      <c r="V144"/>
      <c r="W144">
        <v>18</v>
      </c>
    </row>
    <row r="145" spans="1:23">
      <c r="A145"/>
      <c r="B145" t="s">
        <v>49</v>
      </c>
      <c r="C145" t="s">
        <v>49</v>
      </c>
      <c r="D145" t="s">
        <v>33</v>
      </c>
      <c r="E145" t="s">
        <v>34</v>
      </c>
      <c r="F145" t="str">
        <f>"0013794"</f>
        <v>0013794</v>
      </c>
      <c r="G145">
        <v>1</v>
      </c>
      <c r="H145" t="str">
        <f>"00000001"</f>
        <v>00000001</v>
      </c>
      <c r="I145" t="s">
        <v>35</v>
      </c>
      <c r="J145"/>
      <c r="K145">
        <v>29.66</v>
      </c>
      <c r="L145">
        <v>0.0</v>
      </c>
      <c r="M145"/>
      <c r="N145"/>
      <c r="O145">
        <v>5.34</v>
      </c>
      <c r="P145">
        <v>0.0</v>
      </c>
      <c r="Q145">
        <v>35.0</v>
      </c>
      <c r="R145"/>
      <c r="S145"/>
      <c r="T145"/>
      <c r="U145"/>
      <c r="V145"/>
      <c r="W145">
        <v>18</v>
      </c>
    </row>
    <row r="146" spans="1:23">
      <c r="A146"/>
      <c r="B146" t="s">
        <v>49</v>
      </c>
      <c r="C146" t="s">
        <v>49</v>
      </c>
      <c r="D146" t="s">
        <v>33</v>
      </c>
      <c r="E146" t="s">
        <v>34</v>
      </c>
      <c r="F146" t="str">
        <f>"0013795"</f>
        <v>0013795</v>
      </c>
      <c r="G146">
        <v>1</v>
      </c>
      <c r="H146" t="str">
        <f>"00000001"</f>
        <v>00000001</v>
      </c>
      <c r="I146" t="s">
        <v>35</v>
      </c>
      <c r="J146"/>
      <c r="K146">
        <v>25.42</v>
      </c>
      <c r="L146">
        <v>0.0</v>
      </c>
      <c r="M146"/>
      <c r="N146"/>
      <c r="O146">
        <v>4.58</v>
      </c>
      <c r="P146">
        <v>0.0</v>
      </c>
      <c r="Q146">
        <v>30.0</v>
      </c>
      <c r="R146"/>
      <c r="S146"/>
      <c r="T146"/>
      <c r="U146"/>
      <c r="V146"/>
      <c r="W146">
        <v>18</v>
      </c>
    </row>
    <row r="147" spans="1:23">
      <c r="A147"/>
      <c r="B147" t="s">
        <v>49</v>
      </c>
      <c r="C147" t="s">
        <v>49</v>
      </c>
      <c r="D147" t="s">
        <v>33</v>
      </c>
      <c r="E147" t="s">
        <v>34</v>
      </c>
      <c r="F147" t="str">
        <f>"0013796"</f>
        <v>0013796</v>
      </c>
      <c r="G147">
        <v>1</v>
      </c>
      <c r="H147" t="str">
        <f>"00000001"</f>
        <v>00000001</v>
      </c>
      <c r="I147" t="s">
        <v>35</v>
      </c>
      <c r="J147"/>
      <c r="K147">
        <v>10.17</v>
      </c>
      <c r="L147">
        <v>0.0</v>
      </c>
      <c r="M147"/>
      <c r="N147"/>
      <c r="O147">
        <v>1.83</v>
      </c>
      <c r="P147">
        <v>0.0</v>
      </c>
      <c r="Q147">
        <v>12.0</v>
      </c>
      <c r="R147"/>
      <c r="S147"/>
      <c r="T147"/>
      <c r="U147"/>
      <c r="V147"/>
      <c r="W147">
        <v>18</v>
      </c>
    </row>
    <row r="148" spans="1:23">
      <c r="A148"/>
      <c r="B148" t="s">
        <v>49</v>
      </c>
      <c r="C148" t="s">
        <v>49</v>
      </c>
      <c r="D148" t="s">
        <v>33</v>
      </c>
      <c r="E148" t="s">
        <v>34</v>
      </c>
      <c r="F148" t="str">
        <f>"0013797"</f>
        <v>0013797</v>
      </c>
      <c r="G148">
        <v>1</v>
      </c>
      <c r="H148" t="str">
        <f>"00000001"</f>
        <v>00000001</v>
      </c>
      <c r="I148" t="s">
        <v>35</v>
      </c>
      <c r="J148"/>
      <c r="K148">
        <v>6.78</v>
      </c>
      <c r="L148">
        <v>0.0</v>
      </c>
      <c r="M148"/>
      <c r="N148"/>
      <c r="O148">
        <v>1.22</v>
      </c>
      <c r="P148">
        <v>0.0</v>
      </c>
      <c r="Q148">
        <v>8.0</v>
      </c>
      <c r="R148"/>
      <c r="S148"/>
      <c r="T148"/>
      <c r="U148"/>
      <c r="V148"/>
      <c r="W148">
        <v>18</v>
      </c>
    </row>
    <row r="149" spans="1:23">
      <c r="A149"/>
      <c r="B149" t="s">
        <v>52</v>
      </c>
      <c r="C149" t="s">
        <v>52</v>
      </c>
      <c r="D149" t="s">
        <v>33</v>
      </c>
      <c r="E149" t="s">
        <v>34</v>
      </c>
      <c r="F149" t="str">
        <f>"0013798"</f>
        <v>0013798</v>
      </c>
      <c r="G149">
        <v>1</v>
      </c>
      <c r="H149" t="str">
        <f>"00000001"</f>
        <v>00000001</v>
      </c>
      <c r="I149" t="s">
        <v>35</v>
      </c>
      <c r="J149"/>
      <c r="K149">
        <v>4.83</v>
      </c>
      <c r="L149">
        <v>0.0</v>
      </c>
      <c r="M149"/>
      <c r="N149"/>
      <c r="O149">
        <v>0.87</v>
      </c>
      <c r="P149">
        <v>0.0</v>
      </c>
      <c r="Q149">
        <v>5.7</v>
      </c>
      <c r="R149"/>
      <c r="S149"/>
      <c r="T149"/>
      <c r="U149"/>
      <c r="V149"/>
      <c r="W149">
        <v>18</v>
      </c>
    </row>
    <row r="150" spans="1:23">
      <c r="A150"/>
      <c r="B150" t="s">
        <v>52</v>
      </c>
      <c r="C150" t="s">
        <v>52</v>
      </c>
      <c r="D150" t="s">
        <v>33</v>
      </c>
      <c r="E150" t="s">
        <v>34</v>
      </c>
      <c r="F150" t="str">
        <f>"0013799"</f>
        <v>0013799</v>
      </c>
      <c r="G150">
        <v>1</v>
      </c>
      <c r="H150" t="str">
        <f>"00000001"</f>
        <v>00000001</v>
      </c>
      <c r="I150" t="s">
        <v>35</v>
      </c>
      <c r="J150"/>
      <c r="K150">
        <v>11.02</v>
      </c>
      <c r="L150">
        <v>0.0</v>
      </c>
      <c r="M150"/>
      <c r="N150"/>
      <c r="O150">
        <v>1.98</v>
      </c>
      <c r="P150">
        <v>0.0</v>
      </c>
      <c r="Q150">
        <v>13.0</v>
      </c>
      <c r="R150"/>
      <c r="S150"/>
      <c r="T150"/>
      <c r="U150"/>
      <c r="V150"/>
      <c r="W150">
        <v>18</v>
      </c>
    </row>
    <row r="151" spans="1:23">
      <c r="A151"/>
      <c r="B151" t="s">
        <v>52</v>
      </c>
      <c r="C151" t="s">
        <v>52</v>
      </c>
      <c r="D151" t="s">
        <v>33</v>
      </c>
      <c r="E151" t="s">
        <v>34</v>
      </c>
      <c r="F151" t="str">
        <f>"0013800"</f>
        <v>0013800</v>
      </c>
      <c r="G151">
        <v>1</v>
      </c>
      <c r="H151" t="str">
        <f>"00000001"</f>
        <v>00000001</v>
      </c>
      <c r="I151" t="s">
        <v>35</v>
      </c>
      <c r="J151"/>
      <c r="K151">
        <v>10.17</v>
      </c>
      <c r="L151">
        <v>0.0</v>
      </c>
      <c r="M151"/>
      <c r="N151"/>
      <c r="O151">
        <v>1.83</v>
      </c>
      <c r="P151">
        <v>0.0</v>
      </c>
      <c r="Q151">
        <v>12.0</v>
      </c>
      <c r="R151"/>
      <c r="S151"/>
      <c r="T151"/>
      <c r="U151"/>
      <c r="V151"/>
      <c r="W151">
        <v>18</v>
      </c>
    </row>
    <row r="152" spans="1:23">
      <c r="A152"/>
      <c r="B152" t="s">
        <v>52</v>
      </c>
      <c r="C152" t="s">
        <v>52</v>
      </c>
      <c r="D152" t="s">
        <v>33</v>
      </c>
      <c r="E152" t="s">
        <v>34</v>
      </c>
      <c r="F152" t="str">
        <f>"0013801"</f>
        <v>0013801</v>
      </c>
      <c r="G152">
        <v>1</v>
      </c>
      <c r="H152" t="str">
        <f>"00000001"</f>
        <v>00000001</v>
      </c>
      <c r="I152" t="s">
        <v>35</v>
      </c>
      <c r="J152"/>
      <c r="K152">
        <v>2.97</v>
      </c>
      <c r="L152">
        <v>0.0</v>
      </c>
      <c r="M152"/>
      <c r="N152"/>
      <c r="O152">
        <v>0.53</v>
      </c>
      <c r="P152">
        <v>0.0</v>
      </c>
      <c r="Q152">
        <v>3.5</v>
      </c>
      <c r="R152"/>
      <c r="S152"/>
      <c r="T152"/>
      <c r="U152"/>
      <c r="V152"/>
      <c r="W152">
        <v>18</v>
      </c>
    </row>
    <row r="153" spans="1:23">
      <c r="A153"/>
      <c r="B153" t="s">
        <v>52</v>
      </c>
      <c r="C153" t="s">
        <v>52</v>
      </c>
      <c r="D153" t="s">
        <v>33</v>
      </c>
      <c r="E153" t="s">
        <v>34</v>
      </c>
      <c r="F153" t="str">
        <f>"0013802"</f>
        <v>0013802</v>
      </c>
      <c r="G153">
        <v>1</v>
      </c>
      <c r="H153" t="str">
        <f>"00000001"</f>
        <v>00000001</v>
      </c>
      <c r="I153" t="s">
        <v>35</v>
      </c>
      <c r="J153"/>
      <c r="K153">
        <v>5.93</v>
      </c>
      <c r="L153">
        <v>0.0</v>
      </c>
      <c r="M153"/>
      <c r="N153"/>
      <c r="O153">
        <v>1.07</v>
      </c>
      <c r="P153">
        <v>0.0</v>
      </c>
      <c r="Q153">
        <v>7.0</v>
      </c>
      <c r="R153"/>
      <c r="S153"/>
      <c r="T153"/>
      <c r="U153"/>
      <c r="V153"/>
      <c r="W153">
        <v>18</v>
      </c>
    </row>
    <row r="154" spans="1:23">
      <c r="A154"/>
      <c r="B154" t="s">
        <v>52</v>
      </c>
      <c r="C154" t="s">
        <v>52</v>
      </c>
      <c r="D154" t="s">
        <v>40</v>
      </c>
      <c r="E154" t="s">
        <v>41</v>
      </c>
      <c r="F154" t="str">
        <f>"0001264"</f>
        <v>0001264</v>
      </c>
      <c r="G154">
        <v>6</v>
      </c>
      <c r="H154" t="str">
        <f>"20512002090"</f>
        <v>20512002090</v>
      </c>
      <c r="I154" t="s">
        <v>53</v>
      </c>
      <c r="J154"/>
      <c r="K154">
        <v>5.08</v>
      </c>
      <c r="L154">
        <v>0.0</v>
      </c>
      <c r="M154"/>
      <c r="N154"/>
      <c r="O154">
        <v>0.92</v>
      </c>
      <c r="P154">
        <v>0.0</v>
      </c>
      <c r="Q154">
        <v>6.0</v>
      </c>
      <c r="R154"/>
      <c r="S154"/>
      <c r="T154"/>
      <c r="U154"/>
      <c r="V154"/>
      <c r="W154">
        <v>18</v>
      </c>
    </row>
    <row r="155" spans="1:23">
      <c r="A155"/>
      <c r="B155" t="s">
        <v>52</v>
      </c>
      <c r="C155" t="s">
        <v>52</v>
      </c>
      <c r="D155" t="s">
        <v>33</v>
      </c>
      <c r="E155" t="s">
        <v>34</v>
      </c>
      <c r="F155" t="str">
        <f>"0013803"</f>
        <v>0013803</v>
      </c>
      <c r="G155">
        <v>1</v>
      </c>
      <c r="H155" t="str">
        <f>"00000001"</f>
        <v>00000001</v>
      </c>
      <c r="I155" t="s">
        <v>35</v>
      </c>
      <c r="J155"/>
      <c r="K155">
        <v>6.36</v>
      </c>
      <c r="L155">
        <v>0.0</v>
      </c>
      <c r="M155"/>
      <c r="N155"/>
      <c r="O155">
        <v>1.14</v>
      </c>
      <c r="P155">
        <v>0.0</v>
      </c>
      <c r="Q155">
        <v>7.5</v>
      </c>
      <c r="R155"/>
      <c r="S155"/>
      <c r="T155"/>
      <c r="U155"/>
      <c r="V155"/>
      <c r="W155">
        <v>18</v>
      </c>
    </row>
    <row r="156" spans="1:23">
      <c r="A156"/>
      <c r="B156" t="s">
        <v>52</v>
      </c>
      <c r="C156" t="s">
        <v>52</v>
      </c>
      <c r="D156" t="s">
        <v>33</v>
      </c>
      <c r="E156" t="s">
        <v>34</v>
      </c>
      <c r="F156" t="str">
        <f>"0013804"</f>
        <v>0013804</v>
      </c>
      <c r="G156">
        <v>1</v>
      </c>
      <c r="H156" t="str">
        <f>"00000001"</f>
        <v>00000001</v>
      </c>
      <c r="I156" t="s">
        <v>35</v>
      </c>
      <c r="J156"/>
      <c r="K156">
        <v>2.54</v>
      </c>
      <c r="L156">
        <v>0.0</v>
      </c>
      <c r="M156"/>
      <c r="N156"/>
      <c r="O156">
        <v>0.46</v>
      </c>
      <c r="P156">
        <v>0.0</v>
      </c>
      <c r="Q156">
        <v>3.0</v>
      </c>
      <c r="R156"/>
      <c r="S156"/>
      <c r="T156"/>
      <c r="U156"/>
      <c r="V156"/>
      <c r="W156">
        <v>18</v>
      </c>
    </row>
    <row r="157" spans="1:23">
      <c r="A157"/>
      <c r="B157" t="s">
        <v>52</v>
      </c>
      <c r="C157" t="s">
        <v>52</v>
      </c>
      <c r="D157" t="s">
        <v>33</v>
      </c>
      <c r="E157" t="s">
        <v>34</v>
      </c>
      <c r="F157" t="str">
        <f>"0013805"</f>
        <v>0013805</v>
      </c>
      <c r="G157">
        <v>1</v>
      </c>
      <c r="H157" t="str">
        <f>"00000001"</f>
        <v>00000001</v>
      </c>
      <c r="I157" t="s">
        <v>35</v>
      </c>
      <c r="J157"/>
      <c r="K157">
        <v>24.58</v>
      </c>
      <c r="L157">
        <v>0.0</v>
      </c>
      <c r="M157"/>
      <c r="N157"/>
      <c r="O157">
        <v>4.42</v>
      </c>
      <c r="P157">
        <v>0.0</v>
      </c>
      <c r="Q157">
        <v>29.0</v>
      </c>
      <c r="R157"/>
      <c r="S157"/>
      <c r="T157"/>
      <c r="U157"/>
      <c r="V157"/>
      <c r="W157">
        <v>18</v>
      </c>
    </row>
    <row r="158" spans="1:23">
      <c r="A158"/>
      <c r="B158" t="s">
        <v>52</v>
      </c>
      <c r="C158" t="s">
        <v>52</v>
      </c>
      <c r="D158" t="s">
        <v>33</v>
      </c>
      <c r="E158" t="s">
        <v>34</v>
      </c>
      <c r="F158" t="str">
        <f>"0013806"</f>
        <v>0013806</v>
      </c>
      <c r="G158">
        <v>1</v>
      </c>
      <c r="H158" t="str">
        <f>"00000001"</f>
        <v>00000001</v>
      </c>
      <c r="I158" t="s">
        <v>35</v>
      </c>
      <c r="J158"/>
      <c r="K158">
        <v>36.53</v>
      </c>
      <c r="L158">
        <v>0.0</v>
      </c>
      <c r="M158"/>
      <c r="N158"/>
      <c r="O158">
        <v>6.57</v>
      </c>
      <c r="P158">
        <v>0.0</v>
      </c>
      <c r="Q158">
        <v>43.1</v>
      </c>
      <c r="R158"/>
      <c r="S158"/>
      <c r="T158"/>
      <c r="U158"/>
      <c r="V158"/>
      <c r="W158">
        <v>18</v>
      </c>
    </row>
    <row r="159" spans="1:23">
      <c r="A159"/>
      <c r="B159" t="s">
        <v>52</v>
      </c>
      <c r="C159" t="s">
        <v>52</v>
      </c>
      <c r="D159" t="s">
        <v>33</v>
      </c>
      <c r="E159" t="s">
        <v>34</v>
      </c>
      <c r="F159" t="str">
        <f>"0013807"</f>
        <v>0013807</v>
      </c>
      <c r="G159">
        <v>1</v>
      </c>
      <c r="H159" t="str">
        <f>"00000001"</f>
        <v>00000001</v>
      </c>
      <c r="I159" t="s">
        <v>35</v>
      </c>
      <c r="J159"/>
      <c r="K159">
        <v>1.69</v>
      </c>
      <c r="L159">
        <v>0.0</v>
      </c>
      <c r="M159"/>
      <c r="N159"/>
      <c r="O159">
        <v>0.31</v>
      </c>
      <c r="P159">
        <v>0.0</v>
      </c>
      <c r="Q159">
        <v>2.0</v>
      </c>
      <c r="R159"/>
      <c r="S159"/>
      <c r="T159"/>
      <c r="U159"/>
      <c r="V159"/>
      <c r="W159">
        <v>18</v>
      </c>
    </row>
    <row r="160" spans="1:23">
      <c r="A160"/>
      <c r="B160" t="s">
        <v>52</v>
      </c>
      <c r="C160" t="s">
        <v>52</v>
      </c>
      <c r="D160" t="s">
        <v>33</v>
      </c>
      <c r="E160" t="s">
        <v>34</v>
      </c>
      <c r="F160" t="str">
        <f>"0013808"</f>
        <v>0013808</v>
      </c>
      <c r="G160">
        <v>1</v>
      </c>
      <c r="H160" t="str">
        <f>"00000001"</f>
        <v>00000001</v>
      </c>
      <c r="I160" t="s">
        <v>35</v>
      </c>
      <c r="J160"/>
      <c r="K160">
        <v>10.17</v>
      </c>
      <c r="L160">
        <v>0.0</v>
      </c>
      <c r="M160"/>
      <c r="N160"/>
      <c r="O160">
        <v>1.83</v>
      </c>
      <c r="P160">
        <v>0.0</v>
      </c>
      <c r="Q160">
        <v>12.0</v>
      </c>
      <c r="R160"/>
      <c r="S160"/>
      <c r="T160"/>
      <c r="U160"/>
      <c r="V160"/>
      <c r="W160">
        <v>18</v>
      </c>
    </row>
    <row r="161" spans="1:23">
      <c r="A161"/>
      <c r="B161" t="s">
        <v>52</v>
      </c>
      <c r="C161" t="s">
        <v>52</v>
      </c>
      <c r="D161" t="s">
        <v>33</v>
      </c>
      <c r="E161" t="s">
        <v>34</v>
      </c>
      <c r="F161" t="str">
        <f>"0013809"</f>
        <v>0013809</v>
      </c>
      <c r="G161">
        <v>1</v>
      </c>
      <c r="H161" t="str">
        <f>"00000001"</f>
        <v>00000001</v>
      </c>
      <c r="I161" t="s">
        <v>35</v>
      </c>
      <c r="J161"/>
      <c r="K161">
        <v>10.17</v>
      </c>
      <c r="L161">
        <v>0.0</v>
      </c>
      <c r="M161"/>
      <c r="N161"/>
      <c r="O161">
        <v>1.83</v>
      </c>
      <c r="P161">
        <v>0.0</v>
      </c>
      <c r="Q161">
        <v>12.0</v>
      </c>
      <c r="R161"/>
      <c r="S161"/>
      <c r="T161"/>
      <c r="U161"/>
      <c r="V161"/>
      <c r="W161">
        <v>18</v>
      </c>
    </row>
    <row r="162" spans="1:23">
      <c r="A162"/>
      <c r="B162" t="s">
        <v>52</v>
      </c>
      <c r="C162" t="s">
        <v>52</v>
      </c>
      <c r="D162" t="s">
        <v>33</v>
      </c>
      <c r="E162" t="s">
        <v>34</v>
      </c>
      <c r="F162" t="str">
        <f>"0013810"</f>
        <v>0013810</v>
      </c>
      <c r="G162">
        <v>1</v>
      </c>
      <c r="H162" t="str">
        <f>"00000001"</f>
        <v>00000001</v>
      </c>
      <c r="I162" t="s">
        <v>35</v>
      </c>
      <c r="J162"/>
      <c r="K162">
        <v>1.69</v>
      </c>
      <c r="L162">
        <v>0.0</v>
      </c>
      <c r="M162"/>
      <c r="N162"/>
      <c r="O162">
        <v>0.31</v>
      </c>
      <c r="P162">
        <v>0.0</v>
      </c>
      <c r="Q162">
        <v>2.0</v>
      </c>
      <c r="R162"/>
      <c r="S162"/>
      <c r="T162"/>
      <c r="U162"/>
      <c r="V162"/>
      <c r="W162">
        <v>18</v>
      </c>
    </row>
    <row r="163" spans="1:23">
      <c r="A163"/>
      <c r="B163" t="s">
        <v>52</v>
      </c>
      <c r="C163" t="s">
        <v>52</v>
      </c>
      <c r="D163" t="s">
        <v>33</v>
      </c>
      <c r="E163" t="s">
        <v>34</v>
      </c>
      <c r="F163" t="str">
        <f>"0013811"</f>
        <v>0013811</v>
      </c>
      <c r="G163">
        <v>1</v>
      </c>
      <c r="H163" t="str">
        <f>"00000001"</f>
        <v>00000001</v>
      </c>
      <c r="I163" t="s">
        <v>35</v>
      </c>
      <c r="J163"/>
      <c r="K163">
        <v>8.47</v>
      </c>
      <c r="L163">
        <v>0.0</v>
      </c>
      <c r="M163"/>
      <c r="N163"/>
      <c r="O163">
        <v>1.53</v>
      </c>
      <c r="P163">
        <v>0.0</v>
      </c>
      <c r="Q163">
        <v>10.0</v>
      </c>
      <c r="R163"/>
      <c r="S163"/>
      <c r="T163"/>
      <c r="U163"/>
      <c r="V163"/>
      <c r="W163">
        <v>18</v>
      </c>
    </row>
    <row r="164" spans="1:23">
      <c r="A164"/>
      <c r="B164" t="s">
        <v>52</v>
      </c>
      <c r="C164" t="s">
        <v>52</v>
      </c>
      <c r="D164" t="s">
        <v>33</v>
      </c>
      <c r="E164" t="s">
        <v>34</v>
      </c>
      <c r="F164" t="str">
        <f>"0013812"</f>
        <v>0013812</v>
      </c>
      <c r="G164">
        <v>1</v>
      </c>
      <c r="H164" t="str">
        <f>"00000001"</f>
        <v>00000001</v>
      </c>
      <c r="I164" t="s">
        <v>35</v>
      </c>
      <c r="J164"/>
      <c r="K164">
        <v>10.17</v>
      </c>
      <c r="L164">
        <v>0.0</v>
      </c>
      <c r="M164"/>
      <c r="N164"/>
      <c r="O164">
        <v>1.83</v>
      </c>
      <c r="P164">
        <v>0.0</v>
      </c>
      <c r="Q164">
        <v>12.0</v>
      </c>
      <c r="R164"/>
      <c r="S164"/>
      <c r="T164"/>
      <c r="U164"/>
      <c r="V164"/>
      <c r="W164">
        <v>18</v>
      </c>
    </row>
    <row r="165" spans="1:23">
      <c r="A165"/>
      <c r="B165" t="s">
        <v>52</v>
      </c>
      <c r="C165" t="s">
        <v>52</v>
      </c>
      <c r="D165" t="s">
        <v>33</v>
      </c>
      <c r="E165" t="s">
        <v>34</v>
      </c>
      <c r="F165" t="str">
        <f>"0013813"</f>
        <v>0013813</v>
      </c>
      <c r="G165">
        <v>1</v>
      </c>
      <c r="H165" t="str">
        <f>"00000001"</f>
        <v>00000001</v>
      </c>
      <c r="I165" t="s">
        <v>35</v>
      </c>
      <c r="J165"/>
      <c r="K165">
        <v>3.39</v>
      </c>
      <c r="L165">
        <v>0.0</v>
      </c>
      <c r="M165"/>
      <c r="N165"/>
      <c r="O165">
        <v>0.61</v>
      </c>
      <c r="P165">
        <v>0.0</v>
      </c>
      <c r="Q165">
        <v>4.0</v>
      </c>
      <c r="R165"/>
      <c r="S165"/>
      <c r="T165"/>
      <c r="U165"/>
      <c r="V165"/>
      <c r="W165">
        <v>18</v>
      </c>
    </row>
    <row r="166" spans="1:23">
      <c r="A166"/>
      <c r="B166" t="s">
        <v>52</v>
      </c>
      <c r="C166" t="s">
        <v>52</v>
      </c>
      <c r="D166" t="s">
        <v>40</v>
      </c>
      <c r="E166" t="s">
        <v>41</v>
      </c>
      <c r="F166" t="str">
        <f>"0001265"</f>
        <v>0001265</v>
      </c>
      <c r="G166">
        <v>6</v>
      </c>
      <c r="H166" t="str">
        <f>"20369155360"</f>
        <v>20369155360</v>
      </c>
      <c r="I166" t="s">
        <v>51</v>
      </c>
      <c r="J166"/>
      <c r="K166">
        <v>59.32</v>
      </c>
      <c r="L166">
        <v>0.0</v>
      </c>
      <c r="M166"/>
      <c r="N166"/>
      <c r="O166">
        <v>10.68</v>
      </c>
      <c r="P166">
        <v>0.0</v>
      </c>
      <c r="Q166">
        <v>70.0</v>
      </c>
      <c r="R166"/>
      <c r="S166"/>
      <c r="T166"/>
      <c r="U166"/>
      <c r="V166"/>
      <c r="W166">
        <v>18</v>
      </c>
    </row>
    <row r="167" spans="1:23">
      <c r="A167"/>
      <c r="B167" t="s">
        <v>52</v>
      </c>
      <c r="C167" t="s">
        <v>52</v>
      </c>
      <c r="D167" t="s">
        <v>33</v>
      </c>
      <c r="E167" t="s">
        <v>34</v>
      </c>
      <c r="F167" t="str">
        <f>"0013814"</f>
        <v>0013814</v>
      </c>
      <c r="G167">
        <v>1</v>
      </c>
      <c r="H167" t="str">
        <f>"00000001"</f>
        <v>00000001</v>
      </c>
      <c r="I167" t="s">
        <v>35</v>
      </c>
      <c r="J167"/>
      <c r="K167">
        <v>8.9</v>
      </c>
      <c r="L167">
        <v>0.0</v>
      </c>
      <c r="M167"/>
      <c r="N167"/>
      <c r="O167">
        <v>1.6</v>
      </c>
      <c r="P167">
        <v>0.0</v>
      </c>
      <c r="Q167">
        <v>10.5</v>
      </c>
      <c r="R167"/>
      <c r="S167"/>
      <c r="T167"/>
      <c r="U167"/>
      <c r="V167"/>
      <c r="W167">
        <v>18</v>
      </c>
    </row>
    <row r="168" spans="1:23">
      <c r="A168"/>
      <c r="B168" t="s">
        <v>52</v>
      </c>
      <c r="C168" t="s">
        <v>52</v>
      </c>
      <c r="D168" t="s">
        <v>33</v>
      </c>
      <c r="E168" t="s">
        <v>34</v>
      </c>
      <c r="F168" t="str">
        <f>"0013815"</f>
        <v>0013815</v>
      </c>
      <c r="G168">
        <v>1</v>
      </c>
      <c r="H168" t="str">
        <f>"00000001"</f>
        <v>00000001</v>
      </c>
      <c r="I168" t="s">
        <v>35</v>
      </c>
      <c r="J168"/>
      <c r="K168">
        <v>13.98</v>
      </c>
      <c r="L168">
        <v>0.0</v>
      </c>
      <c r="M168"/>
      <c r="N168"/>
      <c r="O168">
        <v>2.52</v>
      </c>
      <c r="P168">
        <v>0.0</v>
      </c>
      <c r="Q168">
        <v>16.5</v>
      </c>
      <c r="R168"/>
      <c r="S168"/>
      <c r="T168"/>
      <c r="U168"/>
      <c r="V168"/>
      <c r="W168">
        <v>18</v>
      </c>
    </row>
    <row r="169" spans="1:23">
      <c r="A169"/>
      <c r="B169" t="s">
        <v>52</v>
      </c>
      <c r="C169" t="s">
        <v>52</v>
      </c>
      <c r="D169" t="s">
        <v>33</v>
      </c>
      <c r="E169" t="s">
        <v>34</v>
      </c>
      <c r="F169" t="str">
        <f>"0013816"</f>
        <v>0013816</v>
      </c>
      <c r="G169">
        <v>1</v>
      </c>
      <c r="H169" t="str">
        <f>"00000001"</f>
        <v>00000001</v>
      </c>
      <c r="I169" t="s">
        <v>35</v>
      </c>
      <c r="J169"/>
      <c r="K169">
        <v>12.71</v>
      </c>
      <c r="L169">
        <v>0.0</v>
      </c>
      <c r="M169"/>
      <c r="N169"/>
      <c r="O169">
        <v>2.29</v>
      </c>
      <c r="P169">
        <v>0.0</v>
      </c>
      <c r="Q169">
        <v>15.0</v>
      </c>
      <c r="R169"/>
      <c r="S169"/>
      <c r="T169"/>
      <c r="U169"/>
      <c r="V169"/>
      <c r="W169">
        <v>18</v>
      </c>
    </row>
    <row r="170" spans="1:23">
      <c r="A170"/>
      <c r="B170" t="s">
        <v>52</v>
      </c>
      <c r="C170" t="s">
        <v>52</v>
      </c>
      <c r="D170" t="s">
        <v>33</v>
      </c>
      <c r="E170" t="s">
        <v>34</v>
      </c>
      <c r="F170" t="str">
        <f>"0013817"</f>
        <v>0013817</v>
      </c>
      <c r="G170">
        <v>1</v>
      </c>
      <c r="H170" t="str">
        <f>"00000001"</f>
        <v>00000001</v>
      </c>
      <c r="I170" t="s">
        <v>35</v>
      </c>
      <c r="J170"/>
      <c r="K170">
        <v>15.25</v>
      </c>
      <c r="L170">
        <v>0.0</v>
      </c>
      <c r="M170"/>
      <c r="N170"/>
      <c r="O170">
        <v>2.75</v>
      </c>
      <c r="P170">
        <v>0.0</v>
      </c>
      <c r="Q170">
        <v>18.0</v>
      </c>
      <c r="R170"/>
      <c r="S170"/>
      <c r="T170"/>
      <c r="U170"/>
      <c r="V170"/>
      <c r="W170">
        <v>18</v>
      </c>
    </row>
    <row r="171" spans="1:23">
      <c r="A171"/>
      <c r="B171" t="s">
        <v>52</v>
      </c>
      <c r="C171" t="s">
        <v>52</v>
      </c>
      <c r="D171" t="s">
        <v>40</v>
      </c>
      <c r="E171" t="s">
        <v>41</v>
      </c>
      <c r="F171" t="str">
        <f>"0001266"</f>
        <v>0001266</v>
      </c>
      <c r="G171">
        <v>6</v>
      </c>
      <c r="H171" t="str">
        <f>"20613539116"</f>
        <v>20613539116</v>
      </c>
      <c r="I171" t="s">
        <v>54</v>
      </c>
      <c r="J171"/>
      <c r="K171">
        <v>4.24</v>
      </c>
      <c r="L171">
        <v>0.0</v>
      </c>
      <c r="M171"/>
      <c r="N171"/>
      <c r="O171">
        <v>0.76</v>
      </c>
      <c r="P171">
        <v>0.0</v>
      </c>
      <c r="Q171">
        <v>5.0</v>
      </c>
      <c r="R171"/>
      <c r="S171"/>
      <c r="T171"/>
      <c r="U171"/>
      <c r="V171"/>
      <c r="W171">
        <v>18</v>
      </c>
    </row>
    <row r="172" spans="1:23">
      <c r="A172"/>
      <c r="B172" t="s">
        <v>52</v>
      </c>
      <c r="C172" t="s">
        <v>52</v>
      </c>
      <c r="D172" t="s">
        <v>33</v>
      </c>
      <c r="E172" t="s">
        <v>34</v>
      </c>
      <c r="F172" t="str">
        <f>"0013818"</f>
        <v>0013818</v>
      </c>
      <c r="G172">
        <v>1</v>
      </c>
      <c r="H172" t="str">
        <f>"00000001"</f>
        <v>00000001</v>
      </c>
      <c r="I172" t="s">
        <v>35</v>
      </c>
      <c r="J172"/>
      <c r="K172">
        <v>2.54</v>
      </c>
      <c r="L172">
        <v>0.0</v>
      </c>
      <c r="M172"/>
      <c r="N172"/>
      <c r="O172">
        <v>0.46</v>
      </c>
      <c r="P172">
        <v>0.0</v>
      </c>
      <c r="Q172">
        <v>3.0</v>
      </c>
      <c r="R172"/>
      <c r="S172"/>
      <c r="T172"/>
      <c r="U172"/>
      <c r="V172"/>
      <c r="W172">
        <v>18</v>
      </c>
    </row>
    <row r="173" spans="1:23">
      <c r="A173"/>
      <c r="B173" t="s">
        <v>52</v>
      </c>
      <c r="C173" t="s">
        <v>52</v>
      </c>
      <c r="D173" t="s">
        <v>33</v>
      </c>
      <c r="E173" t="s">
        <v>34</v>
      </c>
      <c r="F173" t="str">
        <f>"0013819"</f>
        <v>0013819</v>
      </c>
      <c r="G173">
        <v>1</v>
      </c>
      <c r="H173" t="str">
        <f>"00000001"</f>
        <v>00000001</v>
      </c>
      <c r="I173" t="s">
        <v>35</v>
      </c>
      <c r="J173"/>
      <c r="K173">
        <v>16.95</v>
      </c>
      <c r="L173">
        <v>0.0</v>
      </c>
      <c r="M173"/>
      <c r="N173"/>
      <c r="O173">
        <v>3.05</v>
      </c>
      <c r="P173">
        <v>0.0</v>
      </c>
      <c r="Q173">
        <v>20.0</v>
      </c>
      <c r="R173"/>
      <c r="S173"/>
      <c r="T173"/>
      <c r="U173"/>
      <c r="V173"/>
      <c r="W173">
        <v>18</v>
      </c>
    </row>
    <row r="174" spans="1:23">
      <c r="A174"/>
      <c r="B174" t="s">
        <v>52</v>
      </c>
      <c r="C174" t="s">
        <v>52</v>
      </c>
      <c r="D174" t="s">
        <v>33</v>
      </c>
      <c r="E174" t="s">
        <v>34</v>
      </c>
      <c r="F174" t="str">
        <f>"0013820"</f>
        <v>0013820</v>
      </c>
      <c r="G174">
        <v>1</v>
      </c>
      <c r="H174" t="str">
        <f>"00000001"</f>
        <v>00000001</v>
      </c>
      <c r="I174" t="s">
        <v>35</v>
      </c>
      <c r="J174"/>
      <c r="K174">
        <v>0.85</v>
      </c>
      <c r="L174">
        <v>0.0</v>
      </c>
      <c r="M174"/>
      <c r="N174"/>
      <c r="O174">
        <v>0.15</v>
      </c>
      <c r="P174">
        <v>0.0</v>
      </c>
      <c r="Q174">
        <v>1.0</v>
      </c>
      <c r="R174"/>
      <c r="S174"/>
      <c r="T174"/>
      <c r="U174"/>
      <c r="V174"/>
      <c r="W174">
        <v>18</v>
      </c>
    </row>
    <row r="175" spans="1:23">
      <c r="A175"/>
      <c r="B175" t="s">
        <v>55</v>
      </c>
      <c r="C175" t="s">
        <v>55</v>
      </c>
      <c r="D175" t="s">
        <v>33</v>
      </c>
      <c r="E175" t="s">
        <v>34</v>
      </c>
      <c r="F175" t="str">
        <f>"0013821"</f>
        <v>0013821</v>
      </c>
      <c r="G175">
        <v>1</v>
      </c>
      <c r="H175" t="str">
        <f>"00000001"</f>
        <v>00000001</v>
      </c>
      <c r="I175" t="s">
        <v>35</v>
      </c>
      <c r="J175"/>
      <c r="K175">
        <v>27.12</v>
      </c>
      <c r="L175">
        <v>0.0</v>
      </c>
      <c r="M175"/>
      <c r="N175"/>
      <c r="O175">
        <v>4.88</v>
      </c>
      <c r="P175">
        <v>0.0</v>
      </c>
      <c r="Q175">
        <v>32.0</v>
      </c>
      <c r="R175"/>
      <c r="S175"/>
      <c r="T175"/>
      <c r="U175"/>
      <c r="V175"/>
      <c r="W175">
        <v>18</v>
      </c>
    </row>
    <row r="176" spans="1:23">
      <c r="A176"/>
      <c r="B176" t="s">
        <v>55</v>
      </c>
      <c r="C176" t="s">
        <v>55</v>
      </c>
      <c r="D176" t="s">
        <v>33</v>
      </c>
      <c r="E176" t="s">
        <v>34</v>
      </c>
      <c r="F176" t="str">
        <f>"0013822"</f>
        <v>0013822</v>
      </c>
      <c r="G176">
        <v>1</v>
      </c>
      <c r="H176" t="str">
        <f>"00000001"</f>
        <v>00000001</v>
      </c>
      <c r="I176" t="s">
        <v>35</v>
      </c>
      <c r="J176"/>
      <c r="K176">
        <v>5.08</v>
      </c>
      <c r="L176">
        <v>0.0</v>
      </c>
      <c r="M176"/>
      <c r="N176"/>
      <c r="O176">
        <v>0.92</v>
      </c>
      <c r="P176">
        <v>0.0</v>
      </c>
      <c r="Q176">
        <v>6.0</v>
      </c>
      <c r="R176"/>
      <c r="S176"/>
      <c r="T176"/>
      <c r="U176"/>
      <c r="V176"/>
      <c r="W176">
        <v>18</v>
      </c>
    </row>
    <row r="177" spans="1:23">
      <c r="A177"/>
      <c r="B177" t="s">
        <v>55</v>
      </c>
      <c r="C177" t="s">
        <v>55</v>
      </c>
      <c r="D177" t="s">
        <v>33</v>
      </c>
      <c r="E177" t="s">
        <v>34</v>
      </c>
      <c r="F177" t="str">
        <f>"0013823"</f>
        <v>0013823</v>
      </c>
      <c r="G177">
        <v>1</v>
      </c>
      <c r="H177" t="str">
        <f>"00000001"</f>
        <v>00000001</v>
      </c>
      <c r="I177" t="s">
        <v>35</v>
      </c>
      <c r="J177"/>
      <c r="K177">
        <v>6.78</v>
      </c>
      <c r="L177">
        <v>0.0</v>
      </c>
      <c r="M177"/>
      <c r="N177"/>
      <c r="O177">
        <v>1.22</v>
      </c>
      <c r="P177">
        <v>0.0</v>
      </c>
      <c r="Q177">
        <v>8.0</v>
      </c>
      <c r="R177"/>
      <c r="S177"/>
      <c r="T177"/>
      <c r="U177"/>
      <c r="V177"/>
      <c r="W177">
        <v>18</v>
      </c>
    </row>
    <row r="178" spans="1:23">
      <c r="A178"/>
      <c r="B178" t="s">
        <v>55</v>
      </c>
      <c r="C178" t="s">
        <v>55</v>
      </c>
      <c r="D178" t="s">
        <v>33</v>
      </c>
      <c r="E178" t="s">
        <v>34</v>
      </c>
      <c r="F178" t="str">
        <f>"0013824"</f>
        <v>0013824</v>
      </c>
      <c r="G178">
        <v>1</v>
      </c>
      <c r="H178" t="str">
        <f>"00000001"</f>
        <v>00000001</v>
      </c>
      <c r="I178" t="s">
        <v>35</v>
      </c>
      <c r="J178"/>
      <c r="K178">
        <v>8.47</v>
      </c>
      <c r="L178">
        <v>0.0</v>
      </c>
      <c r="M178"/>
      <c r="N178"/>
      <c r="O178">
        <v>1.53</v>
      </c>
      <c r="P178">
        <v>0.0</v>
      </c>
      <c r="Q178">
        <v>10.0</v>
      </c>
      <c r="R178"/>
      <c r="S178"/>
      <c r="T178"/>
      <c r="U178"/>
      <c r="V178"/>
      <c r="W178">
        <v>18</v>
      </c>
    </row>
    <row r="179" spans="1:23">
      <c r="A179"/>
      <c r="B179" t="s">
        <v>55</v>
      </c>
      <c r="C179" t="s">
        <v>55</v>
      </c>
      <c r="D179" t="s">
        <v>33</v>
      </c>
      <c r="E179" t="s">
        <v>34</v>
      </c>
      <c r="F179" t="str">
        <f>"0013825"</f>
        <v>0013825</v>
      </c>
      <c r="G179">
        <v>1</v>
      </c>
      <c r="H179" t="str">
        <f>"00000001"</f>
        <v>00000001</v>
      </c>
      <c r="I179" t="s">
        <v>35</v>
      </c>
      <c r="J179"/>
      <c r="K179">
        <v>16.95</v>
      </c>
      <c r="L179">
        <v>0.0</v>
      </c>
      <c r="M179"/>
      <c r="N179"/>
      <c r="O179">
        <v>3.05</v>
      </c>
      <c r="P179">
        <v>0.0</v>
      </c>
      <c r="Q179">
        <v>20.0</v>
      </c>
      <c r="R179"/>
      <c r="S179"/>
      <c r="T179"/>
      <c r="U179"/>
      <c r="V179"/>
      <c r="W179">
        <v>18</v>
      </c>
    </row>
    <row r="180" spans="1:23">
      <c r="A180"/>
      <c r="B180" t="s">
        <v>55</v>
      </c>
      <c r="C180" t="s">
        <v>55</v>
      </c>
      <c r="D180" t="s">
        <v>33</v>
      </c>
      <c r="E180" t="s">
        <v>34</v>
      </c>
      <c r="F180" t="str">
        <f>"0013826"</f>
        <v>0013826</v>
      </c>
      <c r="G180">
        <v>1</v>
      </c>
      <c r="H180" t="str">
        <f>"00000001"</f>
        <v>00000001</v>
      </c>
      <c r="I180" t="s">
        <v>35</v>
      </c>
      <c r="J180"/>
      <c r="K180">
        <v>3.39</v>
      </c>
      <c r="L180">
        <v>0.0</v>
      </c>
      <c r="M180"/>
      <c r="N180"/>
      <c r="O180">
        <v>0.61</v>
      </c>
      <c r="P180">
        <v>0.0</v>
      </c>
      <c r="Q180">
        <v>4.0</v>
      </c>
      <c r="R180"/>
      <c r="S180"/>
      <c r="T180"/>
      <c r="U180"/>
      <c r="V180"/>
      <c r="W180">
        <v>18</v>
      </c>
    </row>
    <row r="181" spans="1:23">
      <c r="A181"/>
      <c r="B181" t="s">
        <v>55</v>
      </c>
      <c r="C181" t="s">
        <v>55</v>
      </c>
      <c r="D181" t="s">
        <v>33</v>
      </c>
      <c r="E181" t="s">
        <v>34</v>
      </c>
      <c r="F181" t="str">
        <f>"0013827"</f>
        <v>0013827</v>
      </c>
      <c r="G181">
        <v>1</v>
      </c>
      <c r="H181" t="str">
        <f>"70658712"</f>
        <v>70658712</v>
      </c>
      <c r="I181" t="s">
        <v>50</v>
      </c>
      <c r="J181"/>
      <c r="K181">
        <v>63.56</v>
      </c>
      <c r="L181">
        <v>0.0</v>
      </c>
      <c r="M181"/>
      <c r="N181"/>
      <c r="O181">
        <v>11.44</v>
      </c>
      <c r="P181">
        <v>0.0</v>
      </c>
      <c r="Q181">
        <v>75.0</v>
      </c>
      <c r="R181"/>
      <c r="S181"/>
      <c r="T181"/>
      <c r="U181"/>
      <c r="V181"/>
      <c r="W181">
        <v>18</v>
      </c>
    </row>
    <row r="182" spans="1:23">
      <c r="A182"/>
      <c r="B182" t="s">
        <v>55</v>
      </c>
      <c r="C182" t="s">
        <v>55</v>
      </c>
      <c r="D182" t="s">
        <v>33</v>
      </c>
      <c r="E182" t="s">
        <v>34</v>
      </c>
      <c r="F182" t="str">
        <f>"0013828"</f>
        <v>0013828</v>
      </c>
      <c r="G182">
        <v>1</v>
      </c>
      <c r="H182" t="str">
        <f>"00000001"</f>
        <v>00000001</v>
      </c>
      <c r="I182" t="s">
        <v>35</v>
      </c>
      <c r="J182"/>
      <c r="K182">
        <v>9.32</v>
      </c>
      <c r="L182">
        <v>0.0</v>
      </c>
      <c r="M182"/>
      <c r="N182"/>
      <c r="O182">
        <v>1.68</v>
      </c>
      <c r="P182">
        <v>0.0</v>
      </c>
      <c r="Q182">
        <v>11.0</v>
      </c>
      <c r="R182"/>
      <c r="S182"/>
      <c r="T182"/>
      <c r="U182"/>
      <c r="V182"/>
      <c r="W182">
        <v>18</v>
      </c>
    </row>
    <row r="183" spans="1:23">
      <c r="A183"/>
      <c r="B183" t="s">
        <v>55</v>
      </c>
      <c r="C183" t="s">
        <v>55</v>
      </c>
      <c r="D183" t="s">
        <v>33</v>
      </c>
      <c r="E183" t="s">
        <v>34</v>
      </c>
      <c r="F183" t="str">
        <f>"0013829"</f>
        <v>0013829</v>
      </c>
      <c r="G183">
        <v>1</v>
      </c>
      <c r="H183" t="str">
        <f>"00000001"</f>
        <v>00000001</v>
      </c>
      <c r="I183" t="s">
        <v>35</v>
      </c>
      <c r="J183"/>
      <c r="K183">
        <v>30.51</v>
      </c>
      <c r="L183">
        <v>0.0</v>
      </c>
      <c r="M183"/>
      <c r="N183"/>
      <c r="O183">
        <v>5.49</v>
      </c>
      <c r="P183">
        <v>0.0</v>
      </c>
      <c r="Q183">
        <v>36.0</v>
      </c>
      <c r="R183"/>
      <c r="S183"/>
      <c r="T183"/>
      <c r="U183"/>
      <c r="V183"/>
      <c r="W183">
        <v>18</v>
      </c>
    </row>
    <row r="184" spans="1:23">
      <c r="A184"/>
      <c r="B184" t="s">
        <v>55</v>
      </c>
      <c r="C184" t="s">
        <v>55</v>
      </c>
      <c r="D184" t="s">
        <v>33</v>
      </c>
      <c r="E184" t="s">
        <v>34</v>
      </c>
      <c r="F184" t="str">
        <f>"0013830"</f>
        <v>0013830</v>
      </c>
      <c r="G184">
        <v>1</v>
      </c>
      <c r="H184" t="str">
        <f>"00000001"</f>
        <v>00000001</v>
      </c>
      <c r="I184" t="s">
        <v>35</v>
      </c>
      <c r="J184"/>
      <c r="K184">
        <v>9.32</v>
      </c>
      <c r="L184">
        <v>0.0</v>
      </c>
      <c r="M184"/>
      <c r="N184"/>
      <c r="O184">
        <v>1.68</v>
      </c>
      <c r="P184">
        <v>0.0</v>
      </c>
      <c r="Q184">
        <v>11.0</v>
      </c>
      <c r="R184"/>
      <c r="S184"/>
      <c r="T184"/>
      <c r="U184"/>
      <c r="V184"/>
      <c r="W184">
        <v>18</v>
      </c>
    </row>
    <row r="185" spans="1:23">
      <c r="A185"/>
      <c r="B185" t="s">
        <v>55</v>
      </c>
      <c r="C185" t="s">
        <v>55</v>
      </c>
      <c r="D185" t="s">
        <v>33</v>
      </c>
      <c r="E185" t="s">
        <v>34</v>
      </c>
      <c r="F185" t="str">
        <f>"0013831"</f>
        <v>0013831</v>
      </c>
      <c r="G185">
        <v>1</v>
      </c>
      <c r="H185" t="str">
        <f>"00000001"</f>
        <v>00000001</v>
      </c>
      <c r="I185" t="s">
        <v>35</v>
      </c>
      <c r="J185"/>
      <c r="K185">
        <v>8.47</v>
      </c>
      <c r="L185">
        <v>0.0</v>
      </c>
      <c r="M185"/>
      <c r="N185"/>
      <c r="O185">
        <v>1.53</v>
      </c>
      <c r="P185">
        <v>0.0</v>
      </c>
      <c r="Q185">
        <v>10.0</v>
      </c>
      <c r="R185"/>
      <c r="S185"/>
      <c r="T185"/>
      <c r="U185"/>
      <c r="V185"/>
      <c r="W185">
        <v>18</v>
      </c>
    </row>
    <row r="186" spans="1:23">
      <c r="A186"/>
      <c r="B186" t="s">
        <v>55</v>
      </c>
      <c r="C186" t="s">
        <v>55</v>
      </c>
      <c r="D186" t="s">
        <v>33</v>
      </c>
      <c r="E186" t="s">
        <v>34</v>
      </c>
      <c r="F186" t="str">
        <f>"0013832"</f>
        <v>0013832</v>
      </c>
      <c r="G186">
        <v>1</v>
      </c>
      <c r="H186" t="str">
        <f>"00000001"</f>
        <v>00000001</v>
      </c>
      <c r="I186" t="s">
        <v>35</v>
      </c>
      <c r="J186"/>
      <c r="K186">
        <v>11.86</v>
      </c>
      <c r="L186">
        <v>0.0</v>
      </c>
      <c r="M186"/>
      <c r="N186"/>
      <c r="O186">
        <v>2.14</v>
      </c>
      <c r="P186">
        <v>0.0</v>
      </c>
      <c r="Q186">
        <v>14.0</v>
      </c>
      <c r="R186"/>
      <c r="S186"/>
      <c r="T186"/>
      <c r="U186"/>
      <c r="V186"/>
      <c r="W186">
        <v>18</v>
      </c>
    </row>
    <row r="187" spans="1:23">
      <c r="A187"/>
      <c r="B187" t="s">
        <v>55</v>
      </c>
      <c r="C187" t="s">
        <v>55</v>
      </c>
      <c r="D187" t="s">
        <v>33</v>
      </c>
      <c r="E187" t="s">
        <v>34</v>
      </c>
      <c r="F187" t="str">
        <f>"0013833"</f>
        <v>0013833</v>
      </c>
      <c r="G187">
        <v>1</v>
      </c>
      <c r="H187" t="str">
        <f>"00000001"</f>
        <v>00000001</v>
      </c>
      <c r="I187" t="s">
        <v>35</v>
      </c>
      <c r="J187"/>
      <c r="K187">
        <v>18.64</v>
      </c>
      <c r="L187">
        <v>0.0</v>
      </c>
      <c r="M187"/>
      <c r="N187"/>
      <c r="O187">
        <v>3.36</v>
      </c>
      <c r="P187">
        <v>0.0</v>
      </c>
      <c r="Q187">
        <v>22.0</v>
      </c>
      <c r="R187"/>
      <c r="S187"/>
      <c r="T187"/>
      <c r="U187"/>
      <c r="V187"/>
      <c r="W187">
        <v>18</v>
      </c>
    </row>
    <row r="188" spans="1:23">
      <c r="A188"/>
      <c r="B188" t="s">
        <v>55</v>
      </c>
      <c r="C188" t="s">
        <v>55</v>
      </c>
      <c r="D188" t="s">
        <v>33</v>
      </c>
      <c r="E188" t="s">
        <v>34</v>
      </c>
      <c r="F188" t="str">
        <f>"0013834"</f>
        <v>0013834</v>
      </c>
      <c r="G188">
        <v>1</v>
      </c>
      <c r="H188" t="str">
        <f>"00000001"</f>
        <v>00000001</v>
      </c>
      <c r="I188" t="s">
        <v>35</v>
      </c>
      <c r="J188"/>
      <c r="K188">
        <v>8.47</v>
      </c>
      <c r="L188">
        <v>0.0</v>
      </c>
      <c r="M188"/>
      <c r="N188"/>
      <c r="O188">
        <v>1.53</v>
      </c>
      <c r="P188">
        <v>0.0</v>
      </c>
      <c r="Q188">
        <v>10.0</v>
      </c>
      <c r="R188"/>
      <c r="S188"/>
      <c r="T188"/>
      <c r="U188"/>
      <c r="V188"/>
      <c r="W188">
        <v>18</v>
      </c>
    </row>
    <row r="189" spans="1:23">
      <c r="A189"/>
      <c r="B189" t="s">
        <v>55</v>
      </c>
      <c r="C189" t="s">
        <v>55</v>
      </c>
      <c r="D189" t="s">
        <v>33</v>
      </c>
      <c r="E189" t="s">
        <v>34</v>
      </c>
      <c r="F189" t="str">
        <f>"0013835"</f>
        <v>0013835</v>
      </c>
      <c r="G189">
        <v>1</v>
      </c>
      <c r="H189" t="str">
        <f>"00000001"</f>
        <v>00000001</v>
      </c>
      <c r="I189" t="s">
        <v>35</v>
      </c>
      <c r="J189"/>
      <c r="K189">
        <v>29.66</v>
      </c>
      <c r="L189">
        <v>0.0</v>
      </c>
      <c r="M189"/>
      <c r="N189"/>
      <c r="O189">
        <v>5.34</v>
      </c>
      <c r="P189">
        <v>0.0</v>
      </c>
      <c r="Q189">
        <v>35.0</v>
      </c>
      <c r="R189"/>
      <c r="S189"/>
      <c r="T189"/>
      <c r="U189"/>
      <c r="V189"/>
      <c r="W189">
        <v>18</v>
      </c>
    </row>
    <row r="190" spans="1:23">
      <c r="A190"/>
      <c r="B190" t="s">
        <v>55</v>
      </c>
      <c r="C190" t="s">
        <v>55</v>
      </c>
      <c r="D190" t="s">
        <v>33</v>
      </c>
      <c r="E190" t="s">
        <v>34</v>
      </c>
      <c r="F190" t="str">
        <f>"0013836"</f>
        <v>0013836</v>
      </c>
      <c r="G190">
        <v>1</v>
      </c>
      <c r="H190" t="str">
        <f>"00000001"</f>
        <v>00000001</v>
      </c>
      <c r="I190" t="s">
        <v>35</v>
      </c>
      <c r="J190"/>
      <c r="K190">
        <v>13.98</v>
      </c>
      <c r="L190">
        <v>0.0</v>
      </c>
      <c r="M190"/>
      <c r="N190"/>
      <c r="O190">
        <v>2.52</v>
      </c>
      <c r="P190">
        <v>0.0</v>
      </c>
      <c r="Q190">
        <v>16.5</v>
      </c>
      <c r="R190"/>
      <c r="S190"/>
      <c r="T190"/>
      <c r="U190"/>
      <c r="V190"/>
      <c r="W190">
        <v>18</v>
      </c>
    </row>
    <row r="191" spans="1:23">
      <c r="A191"/>
      <c r="B191" t="s">
        <v>55</v>
      </c>
      <c r="C191" t="s">
        <v>55</v>
      </c>
      <c r="D191" t="s">
        <v>33</v>
      </c>
      <c r="E191" t="s">
        <v>34</v>
      </c>
      <c r="F191" t="str">
        <f>"0013837"</f>
        <v>0013837</v>
      </c>
      <c r="G191">
        <v>1</v>
      </c>
      <c r="H191" t="str">
        <f>"00000001"</f>
        <v>00000001</v>
      </c>
      <c r="I191" t="s">
        <v>35</v>
      </c>
      <c r="J191"/>
      <c r="K191">
        <v>4.24</v>
      </c>
      <c r="L191">
        <v>0.0</v>
      </c>
      <c r="M191"/>
      <c r="N191"/>
      <c r="O191">
        <v>0.76</v>
      </c>
      <c r="P191">
        <v>0.0</v>
      </c>
      <c r="Q191">
        <v>5.0</v>
      </c>
      <c r="R191"/>
      <c r="S191"/>
      <c r="T191"/>
      <c r="U191"/>
      <c r="V191"/>
      <c r="W191">
        <v>18</v>
      </c>
    </row>
    <row r="192" spans="1:23">
      <c r="A192"/>
      <c r="B192" t="s">
        <v>55</v>
      </c>
      <c r="C192" t="s">
        <v>55</v>
      </c>
      <c r="D192" t="s">
        <v>33</v>
      </c>
      <c r="E192" t="s">
        <v>34</v>
      </c>
      <c r="F192" t="str">
        <f>"0013838"</f>
        <v>0013838</v>
      </c>
      <c r="G192">
        <v>1</v>
      </c>
      <c r="H192" t="str">
        <f>"00000001"</f>
        <v>00000001</v>
      </c>
      <c r="I192" t="s">
        <v>35</v>
      </c>
      <c r="J192"/>
      <c r="K192">
        <v>15.68</v>
      </c>
      <c r="L192">
        <v>0.0</v>
      </c>
      <c r="M192"/>
      <c r="N192"/>
      <c r="O192">
        <v>2.82</v>
      </c>
      <c r="P192">
        <v>0.0</v>
      </c>
      <c r="Q192">
        <v>18.5</v>
      </c>
      <c r="R192"/>
      <c r="S192"/>
      <c r="T192"/>
      <c r="U192"/>
      <c r="V192"/>
      <c r="W192">
        <v>18</v>
      </c>
    </row>
    <row r="193" spans="1:23">
      <c r="A193"/>
      <c r="B193" t="s">
        <v>55</v>
      </c>
      <c r="C193" t="s">
        <v>55</v>
      </c>
      <c r="D193" t="s">
        <v>33</v>
      </c>
      <c r="E193" t="s">
        <v>34</v>
      </c>
      <c r="F193" t="str">
        <f>"0013839"</f>
        <v>0013839</v>
      </c>
      <c r="G193">
        <v>1</v>
      </c>
      <c r="H193" t="str">
        <f>"00000001"</f>
        <v>00000001</v>
      </c>
      <c r="I193" t="s">
        <v>35</v>
      </c>
      <c r="J193"/>
      <c r="K193">
        <v>12.71</v>
      </c>
      <c r="L193">
        <v>0.0</v>
      </c>
      <c r="M193"/>
      <c r="N193"/>
      <c r="O193">
        <v>2.29</v>
      </c>
      <c r="P193">
        <v>0.0</v>
      </c>
      <c r="Q193">
        <v>15.0</v>
      </c>
      <c r="R193"/>
      <c r="S193"/>
      <c r="T193"/>
      <c r="U193"/>
      <c r="V193"/>
      <c r="W193">
        <v>18</v>
      </c>
    </row>
    <row r="194" spans="1:23">
      <c r="A194"/>
      <c r="B194" t="s">
        <v>55</v>
      </c>
      <c r="C194" t="s">
        <v>55</v>
      </c>
      <c r="D194" t="s">
        <v>33</v>
      </c>
      <c r="E194" t="s">
        <v>34</v>
      </c>
      <c r="F194" t="str">
        <f>"0013840"</f>
        <v>0013840</v>
      </c>
      <c r="G194">
        <v>1</v>
      </c>
      <c r="H194" t="str">
        <f>"00000001"</f>
        <v>00000001</v>
      </c>
      <c r="I194" t="s">
        <v>35</v>
      </c>
      <c r="J194"/>
      <c r="K194">
        <v>14.83</v>
      </c>
      <c r="L194">
        <v>0.0</v>
      </c>
      <c r="M194"/>
      <c r="N194"/>
      <c r="O194">
        <v>2.67</v>
      </c>
      <c r="P194">
        <v>0.0</v>
      </c>
      <c r="Q194">
        <v>17.5</v>
      </c>
      <c r="R194"/>
      <c r="S194"/>
      <c r="T194"/>
      <c r="U194"/>
      <c r="V194"/>
      <c r="W194">
        <v>18</v>
      </c>
    </row>
    <row r="195" spans="1:23">
      <c r="A195"/>
      <c r="B195" t="s">
        <v>55</v>
      </c>
      <c r="C195" t="s">
        <v>55</v>
      </c>
      <c r="D195" t="s">
        <v>33</v>
      </c>
      <c r="E195" t="s">
        <v>34</v>
      </c>
      <c r="F195" t="str">
        <f>"0013841"</f>
        <v>0013841</v>
      </c>
      <c r="G195">
        <v>1</v>
      </c>
      <c r="H195" t="str">
        <f>"00000001"</f>
        <v>00000001</v>
      </c>
      <c r="I195" t="s">
        <v>35</v>
      </c>
      <c r="J195"/>
      <c r="K195">
        <v>42.37</v>
      </c>
      <c r="L195">
        <v>0.0</v>
      </c>
      <c r="M195"/>
      <c r="N195"/>
      <c r="O195">
        <v>7.63</v>
      </c>
      <c r="P195">
        <v>0.0</v>
      </c>
      <c r="Q195">
        <v>50.0</v>
      </c>
      <c r="R195"/>
      <c r="S195"/>
      <c r="T195"/>
      <c r="U195"/>
      <c r="V195"/>
      <c r="W195">
        <v>18</v>
      </c>
    </row>
    <row r="196" spans="1:23">
      <c r="A196"/>
      <c r="B196" t="s">
        <v>55</v>
      </c>
      <c r="C196" t="s">
        <v>55</v>
      </c>
      <c r="D196" t="s">
        <v>33</v>
      </c>
      <c r="E196" t="s">
        <v>34</v>
      </c>
      <c r="F196" t="str">
        <f>"0013842"</f>
        <v>0013842</v>
      </c>
      <c r="G196">
        <v>1</v>
      </c>
      <c r="H196" t="str">
        <f>"00000001"</f>
        <v>00000001</v>
      </c>
      <c r="I196" t="s">
        <v>35</v>
      </c>
      <c r="J196"/>
      <c r="K196">
        <v>8.47</v>
      </c>
      <c r="L196">
        <v>0.0</v>
      </c>
      <c r="M196"/>
      <c r="N196"/>
      <c r="O196">
        <v>1.53</v>
      </c>
      <c r="P196">
        <v>0.0</v>
      </c>
      <c r="Q196">
        <v>10.0</v>
      </c>
      <c r="R196"/>
      <c r="S196"/>
      <c r="T196"/>
      <c r="U196"/>
      <c r="V196"/>
      <c r="W196">
        <v>18</v>
      </c>
    </row>
    <row r="197" spans="1:23">
      <c r="A197"/>
      <c r="B197" t="s">
        <v>55</v>
      </c>
      <c r="C197" t="s">
        <v>55</v>
      </c>
      <c r="D197" t="s">
        <v>33</v>
      </c>
      <c r="E197" t="s">
        <v>34</v>
      </c>
      <c r="F197" t="str">
        <f>"0013843"</f>
        <v>0013843</v>
      </c>
      <c r="G197">
        <v>6</v>
      </c>
      <c r="H197" t="str">
        <f>"20610600787"</f>
        <v>20610600787</v>
      </c>
      <c r="I197" t="s">
        <v>56</v>
      </c>
      <c r="J197"/>
      <c r="K197">
        <v>6.1</v>
      </c>
      <c r="L197">
        <v>0.0</v>
      </c>
      <c r="M197"/>
      <c r="N197"/>
      <c r="O197">
        <v>1.1</v>
      </c>
      <c r="P197">
        <v>0.0</v>
      </c>
      <c r="Q197">
        <v>7.2</v>
      </c>
      <c r="R197"/>
      <c r="S197"/>
      <c r="T197"/>
      <c r="U197"/>
      <c r="V197"/>
      <c r="W197">
        <v>18</v>
      </c>
    </row>
    <row r="198" spans="1:23">
      <c r="A198"/>
      <c r="B198" t="s">
        <v>55</v>
      </c>
      <c r="C198" t="s">
        <v>55</v>
      </c>
      <c r="D198" t="s">
        <v>33</v>
      </c>
      <c r="E198" t="s">
        <v>34</v>
      </c>
      <c r="F198" t="str">
        <f>"0013844"</f>
        <v>0013844</v>
      </c>
      <c r="G198">
        <v>1</v>
      </c>
      <c r="H198" t="str">
        <f>"00000001"</f>
        <v>00000001</v>
      </c>
      <c r="I198" t="s">
        <v>35</v>
      </c>
      <c r="J198"/>
      <c r="K198">
        <v>16.95</v>
      </c>
      <c r="L198">
        <v>0.0</v>
      </c>
      <c r="M198"/>
      <c r="N198"/>
      <c r="O198">
        <v>3.05</v>
      </c>
      <c r="P198">
        <v>0.0</v>
      </c>
      <c r="Q198">
        <v>20.0</v>
      </c>
      <c r="R198"/>
      <c r="S198"/>
      <c r="T198"/>
      <c r="U198"/>
      <c r="V198"/>
      <c r="W198">
        <v>18</v>
      </c>
    </row>
    <row r="199" spans="1:23">
      <c r="A199"/>
      <c r="B199" t="s">
        <v>55</v>
      </c>
      <c r="C199" t="s">
        <v>55</v>
      </c>
      <c r="D199" t="s">
        <v>33</v>
      </c>
      <c r="E199" t="s">
        <v>34</v>
      </c>
      <c r="F199" t="str">
        <f>"0013845"</f>
        <v>0013845</v>
      </c>
      <c r="G199">
        <v>1</v>
      </c>
      <c r="H199" t="str">
        <f>"00000001"</f>
        <v>00000001</v>
      </c>
      <c r="I199" t="s">
        <v>35</v>
      </c>
      <c r="J199"/>
      <c r="K199">
        <v>8.47</v>
      </c>
      <c r="L199">
        <v>0.0</v>
      </c>
      <c r="M199"/>
      <c r="N199"/>
      <c r="O199">
        <v>1.53</v>
      </c>
      <c r="P199">
        <v>0.0</v>
      </c>
      <c r="Q199">
        <v>10.0</v>
      </c>
      <c r="R199"/>
      <c r="S199"/>
      <c r="T199"/>
      <c r="U199"/>
      <c r="V199"/>
      <c r="W199">
        <v>18</v>
      </c>
    </row>
    <row r="200" spans="1:23">
      <c r="A200"/>
      <c r="B200" t="s">
        <v>55</v>
      </c>
      <c r="C200" t="s">
        <v>55</v>
      </c>
      <c r="D200" t="s">
        <v>33</v>
      </c>
      <c r="E200" t="s">
        <v>34</v>
      </c>
      <c r="F200" t="str">
        <f>"0013846"</f>
        <v>0013846</v>
      </c>
      <c r="G200">
        <v>1</v>
      </c>
      <c r="H200" t="str">
        <f>"00000001"</f>
        <v>00000001</v>
      </c>
      <c r="I200" t="s">
        <v>35</v>
      </c>
      <c r="J200"/>
      <c r="K200">
        <v>6.78</v>
      </c>
      <c r="L200">
        <v>0.0</v>
      </c>
      <c r="M200"/>
      <c r="N200"/>
      <c r="O200">
        <v>1.22</v>
      </c>
      <c r="P200">
        <v>0.0</v>
      </c>
      <c r="Q200">
        <v>8.0</v>
      </c>
      <c r="R200"/>
      <c r="S200"/>
      <c r="T200"/>
      <c r="U200"/>
      <c r="V200"/>
      <c r="W200">
        <v>18</v>
      </c>
    </row>
    <row r="201" spans="1:23">
      <c r="A201"/>
      <c r="B201" t="s">
        <v>55</v>
      </c>
      <c r="C201" t="s">
        <v>55</v>
      </c>
      <c r="D201" t="s">
        <v>33</v>
      </c>
      <c r="E201" t="s">
        <v>34</v>
      </c>
      <c r="F201" t="str">
        <f>"0013847"</f>
        <v>0013847</v>
      </c>
      <c r="G201">
        <v>1</v>
      </c>
      <c r="H201" t="str">
        <f>"00000001"</f>
        <v>00000001</v>
      </c>
      <c r="I201" t="s">
        <v>35</v>
      </c>
      <c r="J201"/>
      <c r="K201">
        <v>16.95</v>
      </c>
      <c r="L201">
        <v>0.0</v>
      </c>
      <c r="M201"/>
      <c r="N201"/>
      <c r="O201">
        <v>3.05</v>
      </c>
      <c r="P201">
        <v>0.0</v>
      </c>
      <c r="Q201">
        <v>20.0</v>
      </c>
      <c r="R201"/>
      <c r="S201"/>
      <c r="T201"/>
      <c r="U201"/>
      <c r="V201"/>
      <c r="W201">
        <v>18</v>
      </c>
    </row>
    <row r="202" spans="1:23">
      <c r="A202"/>
      <c r="B202" t="s">
        <v>55</v>
      </c>
      <c r="C202" t="s">
        <v>55</v>
      </c>
      <c r="D202" t="s">
        <v>33</v>
      </c>
      <c r="E202" t="s">
        <v>34</v>
      </c>
      <c r="F202" t="str">
        <f>"0013848"</f>
        <v>0013848</v>
      </c>
      <c r="G202">
        <v>1</v>
      </c>
      <c r="H202" t="str">
        <f>"00000001"</f>
        <v>00000001</v>
      </c>
      <c r="I202" t="s">
        <v>35</v>
      </c>
      <c r="J202"/>
      <c r="K202">
        <v>7.63</v>
      </c>
      <c r="L202">
        <v>0.0</v>
      </c>
      <c r="M202"/>
      <c r="N202"/>
      <c r="O202">
        <v>1.37</v>
      </c>
      <c r="P202">
        <v>0.0</v>
      </c>
      <c r="Q202">
        <v>9.0</v>
      </c>
      <c r="R202"/>
      <c r="S202"/>
      <c r="T202"/>
      <c r="U202"/>
      <c r="V202"/>
      <c r="W202">
        <v>18</v>
      </c>
    </row>
    <row r="203" spans="1:23">
      <c r="A203"/>
      <c r="B203" t="s">
        <v>55</v>
      </c>
      <c r="C203" t="s">
        <v>55</v>
      </c>
      <c r="D203" t="s">
        <v>33</v>
      </c>
      <c r="E203" t="s">
        <v>34</v>
      </c>
      <c r="F203" t="str">
        <f>"0013849"</f>
        <v>0013849</v>
      </c>
      <c r="G203">
        <v>1</v>
      </c>
      <c r="H203" t="str">
        <f>"00000001"</f>
        <v>00000001</v>
      </c>
      <c r="I203" t="s">
        <v>35</v>
      </c>
      <c r="J203"/>
      <c r="K203">
        <v>8.47</v>
      </c>
      <c r="L203">
        <v>0.0</v>
      </c>
      <c r="M203"/>
      <c r="N203"/>
      <c r="O203">
        <v>1.53</v>
      </c>
      <c r="P203">
        <v>0.0</v>
      </c>
      <c r="Q203">
        <v>10.0</v>
      </c>
      <c r="R203"/>
      <c r="S203"/>
      <c r="T203"/>
      <c r="U203"/>
      <c r="V203"/>
      <c r="W203">
        <v>18</v>
      </c>
    </row>
    <row r="204" spans="1:23">
      <c r="A204"/>
      <c r="B204" t="s">
        <v>55</v>
      </c>
      <c r="C204" t="s">
        <v>55</v>
      </c>
      <c r="D204" t="s">
        <v>33</v>
      </c>
      <c r="E204" t="s">
        <v>34</v>
      </c>
      <c r="F204" t="str">
        <f>"0013850"</f>
        <v>0013850</v>
      </c>
      <c r="G204">
        <v>1</v>
      </c>
      <c r="H204" t="str">
        <f>"00000001"</f>
        <v>00000001</v>
      </c>
      <c r="I204" t="s">
        <v>35</v>
      </c>
      <c r="J204"/>
      <c r="K204">
        <v>8.47</v>
      </c>
      <c r="L204">
        <v>0.0</v>
      </c>
      <c r="M204"/>
      <c r="N204"/>
      <c r="O204">
        <v>1.53</v>
      </c>
      <c r="P204">
        <v>0.0</v>
      </c>
      <c r="Q204">
        <v>10.0</v>
      </c>
      <c r="R204"/>
      <c r="S204"/>
      <c r="T204"/>
      <c r="U204"/>
      <c r="V204"/>
      <c r="W204">
        <v>18</v>
      </c>
    </row>
    <row r="205" spans="1:23">
      <c r="A205"/>
      <c r="B205" t="s">
        <v>55</v>
      </c>
      <c r="C205" t="s">
        <v>55</v>
      </c>
      <c r="D205" t="s">
        <v>33</v>
      </c>
      <c r="E205" t="s">
        <v>34</v>
      </c>
      <c r="F205" t="str">
        <f>"0013851"</f>
        <v>0013851</v>
      </c>
      <c r="G205">
        <v>1</v>
      </c>
      <c r="H205" t="str">
        <f>"00000001"</f>
        <v>00000001</v>
      </c>
      <c r="I205" t="s">
        <v>35</v>
      </c>
      <c r="J205"/>
      <c r="K205">
        <v>5.08</v>
      </c>
      <c r="L205">
        <v>0.0</v>
      </c>
      <c r="M205"/>
      <c r="N205"/>
      <c r="O205">
        <v>0.92</v>
      </c>
      <c r="P205">
        <v>0.0</v>
      </c>
      <c r="Q205">
        <v>6.0</v>
      </c>
      <c r="R205"/>
      <c r="S205"/>
      <c r="T205"/>
      <c r="U205"/>
      <c r="V205"/>
      <c r="W205">
        <v>18</v>
      </c>
    </row>
    <row r="206" spans="1:23">
      <c r="A206"/>
      <c r="B206" t="s">
        <v>55</v>
      </c>
      <c r="C206" t="s">
        <v>55</v>
      </c>
      <c r="D206" t="s">
        <v>33</v>
      </c>
      <c r="E206" t="s">
        <v>34</v>
      </c>
      <c r="F206" t="str">
        <f>"0013852"</f>
        <v>0013852</v>
      </c>
      <c r="G206">
        <v>1</v>
      </c>
      <c r="H206" t="str">
        <f>"00000001"</f>
        <v>00000001</v>
      </c>
      <c r="I206" t="s">
        <v>35</v>
      </c>
      <c r="J206"/>
      <c r="K206">
        <v>33.9</v>
      </c>
      <c r="L206">
        <v>0.0</v>
      </c>
      <c r="M206"/>
      <c r="N206"/>
      <c r="O206">
        <v>6.1</v>
      </c>
      <c r="P206">
        <v>0.0</v>
      </c>
      <c r="Q206">
        <v>40.0</v>
      </c>
      <c r="R206"/>
      <c r="S206"/>
      <c r="T206"/>
      <c r="U206"/>
      <c r="V206"/>
      <c r="W206">
        <v>18</v>
      </c>
    </row>
    <row r="207" spans="1:23">
      <c r="A207"/>
      <c r="B207" t="s">
        <v>55</v>
      </c>
      <c r="C207" t="s">
        <v>55</v>
      </c>
      <c r="D207" t="s">
        <v>33</v>
      </c>
      <c r="E207" t="s">
        <v>34</v>
      </c>
      <c r="F207" t="str">
        <f>"0013853"</f>
        <v>0013853</v>
      </c>
      <c r="G207">
        <v>1</v>
      </c>
      <c r="H207" t="str">
        <f>"00000001"</f>
        <v>00000001</v>
      </c>
      <c r="I207" t="s">
        <v>35</v>
      </c>
      <c r="J207"/>
      <c r="K207">
        <v>67.8</v>
      </c>
      <c r="L207">
        <v>0.0</v>
      </c>
      <c r="M207"/>
      <c r="N207"/>
      <c r="O207">
        <v>12.2</v>
      </c>
      <c r="P207">
        <v>0.0</v>
      </c>
      <c r="Q207">
        <v>80.0</v>
      </c>
      <c r="R207"/>
      <c r="S207"/>
      <c r="T207"/>
      <c r="U207"/>
      <c r="V207"/>
      <c r="W207">
        <v>18</v>
      </c>
    </row>
    <row r="208" spans="1:23">
      <c r="A208"/>
      <c r="B208" t="s">
        <v>57</v>
      </c>
      <c r="C208" t="s">
        <v>57</v>
      </c>
      <c r="D208" t="s">
        <v>33</v>
      </c>
      <c r="E208" t="s">
        <v>34</v>
      </c>
      <c r="F208" t="str">
        <f>"0013854"</f>
        <v>0013854</v>
      </c>
      <c r="G208">
        <v>1</v>
      </c>
      <c r="H208" t="str">
        <f>"00000001"</f>
        <v>00000001</v>
      </c>
      <c r="I208" t="s">
        <v>35</v>
      </c>
      <c r="J208"/>
      <c r="K208">
        <v>13.56</v>
      </c>
      <c r="L208">
        <v>0.0</v>
      </c>
      <c r="M208"/>
      <c r="N208"/>
      <c r="O208">
        <v>2.44</v>
      </c>
      <c r="P208">
        <v>0.0</v>
      </c>
      <c r="Q208">
        <v>16.0</v>
      </c>
      <c r="R208"/>
      <c r="S208"/>
      <c r="T208"/>
      <c r="U208"/>
      <c r="V208"/>
      <c r="W208">
        <v>18</v>
      </c>
    </row>
    <row r="209" spans="1:23">
      <c r="A209"/>
      <c r="B209" t="s">
        <v>57</v>
      </c>
      <c r="C209" t="s">
        <v>57</v>
      </c>
      <c r="D209" t="s">
        <v>33</v>
      </c>
      <c r="E209" t="s">
        <v>34</v>
      </c>
      <c r="F209" t="str">
        <f>"0013855"</f>
        <v>0013855</v>
      </c>
      <c r="G209">
        <v>1</v>
      </c>
      <c r="H209" t="str">
        <f>"00000001"</f>
        <v>00000001</v>
      </c>
      <c r="I209" t="s">
        <v>35</v>
      </c>
      <c r="J209"/>
      <c r="K209">
        <v>13.56</v>
      </c>
      <c r="L209">
        <v>0.0</v>
      </c>
      <c r="M209"/>
      <c r="N209"/>
      <c r="O209">
        <v>2.44</v>
      </c>
      <c r="P209">
        <v>0.0</v>
      </c>
      <c r="Q209">
        <v>16.0</v>
      </c>
      <c r="R209"/>
      <c r="S209"/>
      <c r="T209"/>
      <c r="U209"/>
      <c r="V209"/>
      <c r="W209">
        <v>18</v>
      </c>
    </row>
    <row r="210" spans="1:23">
      <c r="A210"/>
      <c r="B210" t="s">
        <v>57</v>
      </c>
      <c r="C210" t="s">
        <v>57</v>
      </c>
      <c r="D210" t="s">
        <v>33</v>
      </c>
      <c r="E210" t="s">
        <v>34</v>
      </c>
      <c r="F210" t="str">
        <f>"0013856"</f>
        <v>0013856</v>
      </c>
      <c r="G210">
        <v>1</v>
      </c>
      <c r="H210" t="str">
        <f>"00000001"</f>
        <v>00000001</v>
      </c>
      <c r="I210" t="s">
        <v>35</v>
      </c>
      <c r="J210"/>
      <c r="K210">
        <v>10.17</v>
      </c>
      <c r="L210">
        <v>0.0</v>
      </c>
      <c r="M210"/>
      <c r="N210"/>
      <c r="O210">
        <v>1.83</v>
      </c>
      <c r="P210">
        <v>0.0</v>
      </c>
      <c r="Q210">
        <v>12.0</v>
      </c>
      <c r="R210"/>
      <c r="S210"/>
      <c r="T210"/>
      <c r="U210"/>
      <c r="V210"/>
      <c r="W210">
        <v>18</v>
      </c>
    </row>
    <row r="211" spans="1:23">
      <c r="A211"/>
      <c r="B211" t="s">
        <v>57</v>
      </c>
      <c r="C211" t="s">
        <v>57</v>
      </c>
      <c r="D211" t="s">
        <v>33</v>
      </c>
      <c r="E211" t="s">
        <v>34</v>
      </c>
      <c r="F211" t="str">
        <f>"0013857"</f>
        <v>0013857</v>
      </c>
      <c r="G211">
        <v>1</v>
      </c>
      <c r="H211" t="str">
        <f>"00000001"</f>
        <v>00000001</v>
      </c>
      <c r="I211" t="s">
        <v>35</v>
      </c>
      <c r="J211"/>
      <c r="K211">
        <v>2.54</v>
      </c>
      <c r="L211">
        <v>0.0</v>
      </c>
      <c r="M211"/>
      <c r="N211"/>
      <c r="O211">
        <v>0.46</v>
      </c>
      <c r="P211">
        <v>0.0</v>
      </c>
      <c r="Q211">
        <v>3.0</v>
      </c>
      <c r="R211"/>
      <c r="S211"/>
      <c r="T211"/>
      <c r="U211"/>
      <c r="V211"/>
      <c r="W211">
        <v>18</v>
      </c>
    </row>
    <row r="212" spans="1:23">
      <c r="A212"/>
      <c r="B212" t="s">
        <v>57</v>
      </c>
      <c r="C212" t="s">
        <v>57</v>
      </c>
      <c r="D212" t="s">
        <v>33</v>
      </c>
      <c r="E212" t="s">
        <v>34</v>
      </c>
      <c r="F212" t="str">
        <f>"0013858"</f>
        <v>0013858</v>
      </c>
      <c r="G212">
        <v>1</v>
      </c>
      <c r="H212" t="str">
        <f>"00000001"</f>
        <v>00000001</v>
      </c>
      <c r="I212" t="s">
        <v>35</v>
      </c>
      <c r="J212"/>
      <c r="K212">
        <v>19.66</v>
      </c>
      <c r="L212">
        <v>0.0</v>
      </c>
      <c r="M212"/>
      <c r="N212"/>
      <c r="O212">
        <v>3.54</v>
      </c>
      <c r="P212">
        <v>0.0</v>
      </c>
      <c r="Q212">
        <v>23.2</v>
      </c>
      <c r="R212"/>
      <c r="S212"/>
      <c r="T212"/>
      <c r="U212"/>
      <c r="V212"/>
      <c r="W212">
        <v>18</v>
      </c>
    </row>
    <row r="213" spans="1:23">
      <c r="A213"/>
      <c r="B213" t="s">
        <v>57</v>
      </c>
      <c r="C213" t="s">
        <v>57</v>
      </c>
      <c r="D213" t="s">
        <v>33</v>
      </c>
      <c r="E213" t="s">
        <v>34</v>
      </c>
      <c r="F213" t="str">
        <f>"0013859"</f>
        <v>0013859</v>
      </c>
      <c r="G213">
        <v>1</v>
      </c>
      <c r="H213" t="str">
        <f>"00000001"</f>
        <v>00000001</v>
      </c>
      <c r="I213" t="s">
        <v>35</v>
      </c>
      <c r="J213"/>
      <c r="K213">
        <v>315.25</v>
      </c>
      <c r="L213">
        <v>0.0</v>
      </c>
      <c r="M213"/>
      <c r="N213"/>
      <c r="O213">
        <v>56.75</v>
      </c>
      <c r="P213">
        <v>0.0</v>
      </c>
      <c r="Q213">
        <v>372.0</v>
      </c>
      <c r="R213"/>
      <c r="S213"/>
      <c r="T213"/>
      <c r="U213"/>
      <c r="V213"/>
      <c r="W213">
        <v>18</v>
      </c>
    </row>
    <row r="214" spans="1:23">
      <c r="A214"/>
      <c r="B214" t="s">
        <v>57</v>
      </c>
      <c r="C214" t="s">
        <v>57</v>
      </c>
      <c r="D214" t="s">
        <v>33</v>
      </c>
      <c r="E214" t="s">
        <v>34</v>
      </c>
      <c r="F214" t="str">
        <f>"0013860"</f>
        <v>0013860</v>
      </c>
      <c r="G214">
        <v>1</v>
      </c>
      <c r="H214" t="str">
        <f>"00000001"</f>
        <v>00000001</v>
      </c>
      <c r="I214" t="s">
        <v>35</v>
      </c>
      <c r="J214"/>
      <c r="K214">
        <v>4.24</v>
      </c>
      <c r="L214">
        <v>0.0</v>
      </c>
      <c r="M214"/>
      <c r="N214"/>
      <c r="O214">
        <v>0.76</v>
      </c>
      <c r="P214">
        <v>0.0</v>
      </c>
      <c r="Q214">
        <v>5.0</v>
      </c>
      <c r="R214"/>
      <c r="S214"/>
      <c r="T214"/>
      <c r="U214"/>
      <c r="V214"/>
      <c r="W214">
        <v>18</v>
      </c>
    </row>
    <row r="215" spans="1:23">
      <c r="A215"/>
      <c r="B215" t="s">
        <v>57</v>
      </c>
      <c r="C215" t="s">
        <v>57</v>
      </c>
      <c r="D215" t="s">
        <v>33</v>
      </c>
      <c r="E215" t="s">
        <v>34</v>
      </c>
      <c r="F215" t="str">
        <f>"0013861"</f>
        <v>0013861</v>
      </c>
      <c r="G215">
        <v>1</v>
      </c>
      <c r="H215" t="str">
        <f>"00000001"</f>
        <v>00000001</v>
      </c>
      <c r="I215" t="s">
        <v>35</v>
      </c>
      <c r="J215"/>
      <c r="K215">
        <v>8.47</v>
      </c>
      <c r="L215">
        <v>0.0</v>
      </c>
      <c r="M215"/>
      <c r="N215"/>
      <c r="O215">
        <v>1.53</v>
      </c>
      <c r="P215">
        <v>0.0</v>
      </c>
      <c r="Q215">
        <v>10.0</v>
      </c>
      <c r="R215"/>
      <c r="S215"/>
      <c r="T215"/>
      <c r="U215"/>
      <c r="V215"/>
      <c r="W215">
        <v>18</v>
      </c>
    </row>
    <row r="216" spans="1:23">
      <c r="A216"/>
      <c r="B216" t="s">
        <v>57</v>
      </c>
      <c r="C216" t="s">
        <v>57</v>
      </c>
      <c r="D216" t="s">
        <v>33</v>
      </c>
      <c r="E216" t="s">
        <v>34</v>
      </c>
      <c r="F216" t="str">
        <f>"0013862"</f>
        <v>0013862</v>
      </c>
      <c r="G216">
        <v>1</v>
      </c>
      <c r="H216" t="str">
        <f>"00000001"</f>
        <v>00000001</v>
      </c>
      <c r="I216" t="s">
        <v>35</v>
      </c>
      <c r="J216"/>
      <c r="K216">
        <v>12.71</v>
      </c>
      <c r="L216">
        <v>0.0</v>
      </c>
      <c r="M216"/>
      <c r="N216"/>
      <c r="O216">
        <v>2.29</v>
      </c>
      <c r="P216">
        <v>0.0</v>
      </c>
      <c r="Q216">
        <v>15.0</v>
      </c>
      <c r="R216"/>
      <c r="S216"/>
      <c r="T216"/>
      <c r="U216"/>
      <c r="V216"/>
      <c r="W216">
        <v>18</v>
      </c>
    </row>
    <row r="217" spans="1:23">
      <c r="A217"/>
      <c r="B217" t="s">
        <v>57</v>
      </c>
      <c r="C217" t="s">
        <v>57</v>
      </c>
      <c r="D217" t="s">
        <v>33</v>
      </c>
      <c r="E217" t="s">
        <v>34</v>
      </c>
      <c r="F217" t="str">
        <f>"0013863"</f>
        <v>0013863</v>
      </c>
      <c r="G217">
        <v>1</v>
      </c>
      <c r="H217" t="str">
        <f>"00000001"</f>
        <v>00000001</v>
      </c>
      <c r="I217" t="s">
        <v>35</v>
      </c>
      <c r="J217"/>
      <c r="K217">
        <v>8.47</v>
      </c>
      <c r="L217">
        <v>0.0</v>
      </c>
      <c r="M217"/>
      <c r="N217"/>
      <c r="O217">
        <v>1.53</v>
      </c>
      <c r="P217">
        <v>0.0</v>
      </c>
      <c r="Q217">
        <v>10.0</v>
      </c>
      <c r="R217"/>
      <c r="S217"/>
      <c r="T217"/>
      <c r="U217"/>
      <c r="V217"/>
      <c r="W217">
        <v>18</v>
      </c>
    </row>
    <row r="218" spans="1:23">
      <c r="A218"/>
      <c r="B218" t="s">
        <v>57</v>
      </c>
      <c r="C218" t="s">
        <v>57</v>
      </c>
      <c r="D218" t="s">
        <v>33</v>
      </c>
      <c r="E218" t="s">
        <v>34</v>
      </c>
      <c r="F218" t="str">
        <f>"0013864"</f>
        <v>0013864</v>
      </c>
      <c r="G218">
        <v>1</v>
      </c>
      <c r="H218" t="str">
        <f>"00000001"</f>
        <v>00000001</v>
      </c>
      <c r="I218" t="s">
        <v>35</v>
      </c>
      <c r="J218"/>
      <c r="K218">
        <v>16.95</v>
      </c>
      <c r="L218">
        <v>0.0</v>
      </c>
      <c r="M218"/>
      <c r="N218"/>
      <c r="O218">
        <v>3.05</v>
      </c>
      <c r="P218">
        <v>0.0</v>
      </c>
      <c r="Q218">
        <v>20.0</v>
      </c>
      <c r="R218"/>
      <c r="S218"/>
      <c r="T218"/>
      <c r="U218"/>
      <c r="V218"/>
      <c r="W218">
        <v>18</v>
      </c>
    </row>
    <row r="219" spans="1:23">
      <c r="A219"/>
      <c r="B219" t="s">
        <v>57</v>
      </c>
      <c r="C219" t="s">
        <v>57</v>
      </c>
      <c r="D219" t="s">
        <v>33</v>
      </c>
      <c r="E219" t="s">
        <v>34</v>
      </c>
      <c r="F219" t="str">
        <f>"0013865"</f>
        <v>0013865</v>
      </c>
      <c r="G219">
        <v>1</v>
      </c>
      <c r="H219" t="str">
        <f>"00000001"</f>
        <v>00000001</v>
      </c>
      <c r="I219" t="s">
        <v>35</v>
      </c>
      <c r="J219"/>
      <c r="K219">
        <v>25.42</v>
      </c>
      <c r="L219">
        <v>0.0</v>
      </c>
      <c r="M219"/>
      <c r="N219"/>
      <c r="O219">
        <v>4.58</v>
      </c>
      <c r="P219">
        <v>0.0</v>
      </c>
      <c r="Q219">
        <v>30.0</v>
      </c>
      <c r="R219"/>
      <c r="S219"/>
      <c r="T219"/>
      <c r="U219"/>
      <c r="V219"/>
      <c r="W219">
        <v>18</v>
      </c>
    </row>
    <row r="220" spans="1:23">
      <c r="A220"/>
      <c r="B220" t="s">
        <v>57</v>
      </c>
      <c r="C220" t="s">
        <v>57</v>
      </c>
      <c r="D220" t="s">
        <v>33</v>
      </c>
      <c r="E220" t="s">
        <v>34</v>
      </c>
      <c r="F220" t="str">
        <f>"0013866"</f>
        <v>0013866</v>
      </c>
      <c r="G220">
        <v>1</v>
      </c>
      <c r="H220" t="str">
        <f>"00000001"</f>
        <v>00000001</v>
      </c>
      <c r="I220" t="s">
        <v>35</v>
      </c>
      <c r="J220"/>
      <c r="K220">
        <v>42.8</v>
      </c>
      <c r="L220">
        <v>0.0</v>
      </c>
      <c r="M220"/>
      <c r="N220"/>
      <c r="O220">
        <v>7.7</v>
      </c>
      <c r="P220">
        <v>0.0</v>
      </c>
      <c r="Q220">
        <v>50.5</v>
      </c>
      <c r="R220"/>
      <c r="S220"/>
      <c r="T220"/>
      <c r="U220"/>
      <c r="V220"/>
      <c r="W220">
        <v>18</v>
      </c>
    </row>
    <row r="221" spans="1:23">
      <c r="A221"/>
      <c r="B221" t="s">
        <v>57</v>
      </c>
      <c r="C221" t="s">
        <v>57</v>
      </c>
      <c r="D221" t="s">
        <v>33</v>
      </c>
      <c r="E221" t="s">
        <v>34</v>
      </c>
      <c r="F221" t="str">
        <f>"0013867"</f>
        <v>0013867</v>
      </c>
      <c r="G221">
        <v>1</v>
      </c>
      <c r="H221" t="str">
        <f>"00000001"</f>
        <v>00000001</v>
      </c>
      <c r="I221" t="s">
        <v>35</v>
      </c>
      <c r="J221"/>
      <c r="K221">
        <v>14.41</v>
      </c>
      <c r="L221">
        <v>0.0</v>
      </c>
      <c r="M221"/>
      <c r="N221"/>
      <c r="O221">
        <v>2.59</v>
      </c>
      <c r="P221">
        <v>0.0</v>
      </c>
      <c r="Q221">
        <v>17.0</v>
      </c>
      <c r="R221"/>
      <c r="S221"/>
      <c r="T221"/>
      <c r="U221"/>
      <c r="V221"/>
      <c r="W221">
        <v>18</v>
      </c>
    </row>
    <row r="222" spans="1:23">
      <c r="A222"/>
      <c r="B222" t="s">
        <v>57</v>
      </c>
      <c r="C222" t="s">
        <v>57</v>
      </c>
      <c r="D222" t="s">
        <v>33</v>
      </c>
      <c r="E222" t="s">
        <v>34</v>
      </c>
      <c r="F222" t="str">
        <f>"0013868"</f>
        <v>0013868</v>
      </c>
      <c r="G222">
        <v>1</v>
      </c>
      <c r="H222" t="str">
        <f>"00000001"</f>
        <v>00000001</v>
      </c>
      <c r="I222" t="s">
        <v>35</v>
      </c>
      <c r="J222"/>
      <c r="K222">
        <v>23.73</v>
      </c>
      <c r="L222">
        <v>0.0</v>
      </c>
      <c r="M222"/>
      <c r="N222"/>
      <c r="O222">
        <v>4.27</v>
      </c>
      <c r="P222">
        <v>0.0</v>
      </c>
      <c r="Q222">
        <v>28.0</v>
      </c>
      <c r="R222"/>
      <c r="S222"/>
      <c r="T222"/>
      <c r="U222"/>
      <c r="V222"/>
      <c r="W222">
        <v>18</v>
      </c>
    </row>
    <row r="223" spans="1:23">
      <c r="A223"/>
      <c r="B223" t="s">
        <v>57</v>
      </c>
      <c r="C223" t="s">
        <v>57</v>
      </c>
      <c r="D223" t="s">
        <v>33</v>
      </c>
      <c r="E223" t="s">
        <v>34</v>
      </c>
      <c r="F223" t="str">
        <f>"0013869"</f>
        <v>0013869</v>
      </c>
      <c r="G223">
        <v>1</v>
      </c>
      <c r="H223" t="str">
        <f>"00000001"</f>
        <v>00000001</v>
      </c>
      <c r="I223" t="s">
        <v>35</v>
      </c>
      <c r="J223"/>
      <c r="K223">
        <v>23.73</v>
      </c>
      <c r="L223">
        <v>0.0</v>
      </c>
      <c r="M223"/>
      <c r="N223"/>
      <c r="O223">
        <v>4.27</v>
      </c>
      <c r="P223">
        <v>0.0</v>
      </c>
      <c r="Q223">
        <v>28.0</v>
      </c>
      <c r="R223"/>
      <c r="S223"/>
      <c r="T223"/>
      <c r="U223"/>
      <c r="V223"/>
      <c r="W223">
        <v>18</v>
      </c>
    </row>
    <row r="224" spans="1:23">
      <c r="A224"/>
      <c r="B224" t="s">
        <v>57</v>
      </c>
      <c r="C224" t="s">
        <v>57</v>
      </c>
      <c r="D224" t="s">
        <v>33</v>
      </c>
      <c r="E224" t="s">
        <v>34</v>
      </c>
      <c r="F224" t="str">
        <f>"0013870"</f>
        <v>0013870</v>
      </c>
      <c r="G224">
        <v>1</v>
      </c>
      <c r="H224" t="str">
        <f>"00000001"</f>
        <v>00000001</v>
      </c>
      <c r="I224" t="s">
        <v>35</v>
      </c>
      <c r="J224"/>
      <c r="K224">
        <v>4.24</v>
      </c>
      <c r="L224">
        <v>0.0</v>
      </c>
      <c r="M224"/>
      <c r="N224"/>
      <c r="O224">
        <v>0.76</v>
      </c>
      <c r="P224">
        <v>0.0</v>
      </c>
      <c r="Q224">
        <v>5.0</v>
      </c>
      <c r="R224"/>
      <c r="S224"/>
      <c r="T224"/>
      <c r="U224"/>
      <c r="V224"/>
      <c r="W224">
        <v>18</v>
      </c>
    </row>
    <row r="225" spans="1:23">
      <c r="A225"/>
      <c r="B225" t="s">
        <v>57</v>
      </c>
      <c r="C225" t="s">
        <v>57</v>
      </c>
      <c r="D225" t="s">
        <v>33</v>
      </c>
      <c r="E225" t="s">
        <v>34</v>
      </c>
      <c r="F225" t="str">
        <f>"0013871"</f>
        <v>0013871</v>
      </c>
      <c r="G225">
        <v>1</v>
      </c>
      <c r="H225" t="str">
        <f>"00000001"</f>
        <v>00000001</v>
      </c>
      <c r="I225" t="s">
        <v>35</v>
      </c>
      <c r="J225"/>
      <c r="K225">
        <v>409.32</v>
      </c>
      <c r="L225">
        <v>0.0</v>
      </c>
      <c r="M225"/>
      <c r="N225"/>
      <c r="O225">
        <v>73.68</v>
      </c>
      <c r="P225">
        <v>0.0</v>
      </c>
      <c r="Q225">
        <v>483.0</v>
      </c>
      <c r="R225"/>
      <c r="S225"/>
      <c r="T225"/>
      <c r="U225"/>
      <c r="V225"/>
      <c r="W225">
        <v>18</v>
      </c>
    </row>
    <row r="226" spans="1:23">
      <c r="A226"/>
      <c r="B226" t="s">
        <v>57</v>
      </c>
      <c r="C226" t="s">
        <v>57</v>
      </c>
      <c r="D226" t="s">
        <v>33</v>
      </c>
      <c r="E226" t="s">
        <v>34</v>
      </c>
      <c r="F226" t="str">
        <f>"0013872"</f>
        <v>0013872</v>
      </c>
      <c r="G226">
        <v>6</v>
      </c>
      <c r="H226" t="str">
        <f>"20610600787"</f>
        <v>20610600787</v>
      </c>
      <c r="I226" t="s">
        <v>56</v>
      </c>
      <c r="J226"/>
      <c r="K226">
        <v>81.19</v>
      </c>
      <c r="L226">
        <v>0.0</v>
      </c>
      <c r="M226"/>
      <c r="N226"/>
      <c r="O226">
        <v>14.61</v>
      </c>
      <c r="P226">
        <v>0.0</v>
      </c>
      <c r="Q226">
        <v>95.8</v>
      </c>
      <c r="R226"/>
      <c r="S226"/>
      <c r="T226"/>
      <c r="U226"/>
      <c r="V226"/>
      <c r="W226">
        <v>18</v>
      </c>
    </row>
    <row r="227" spans="1:23">
      <c r="A227"/>
      <c r="B227" t="s">
        <v>57</v>
      </c>
      <c r="C227" t="s">
        <v>57</v>
      </c>
      <c r="D227" t="s">
        <v>33</v>
      </c>
      <c r="E227" t="s">
        <v>34</v>
      </c>
      <c r="F227" t="str">
        <f>"0013873"</f>
        <v>0013873</v>
      </c>
      <c r="G227">
        <v>6</v>
      </c>
      <c r="H227" t="str">
        <f>"10431856544"</f>
        <v>10431856544</v>
      </c>
      <c r="I227" t="s">
        <v>58</v>
      </c>
      <c r="J227"/>
      <c r="K227">
        <v>25.42</v>
      </c>
      <c r="L227">
        <v>0.0</v>
      </c>
      <c r="M227"/>
      <c r="N227"/>
      <c r="O227">
        <v>4.58</v>
      </c>
      <c r="P227">
        <v>0.0</v>
      </c>
      <c r="Q227">
        <v>30.0</v>
      </c>
      <c r="R227"/>
      <c r="S227"/>
      <c r="T227"/>
      <c r="U227"/>
      <c r="V227"/>
      <c r="W227">
        <v>18</v>
      </c>
    </row>
    <row r="228" spans="1:23">
      <c r="A228"/>
      <c r="B228" t="s">
        <v>57</v>
      </c>
      <c r="C228" t="s">
        <v>57</v>
      </c>
      <c r="D228" t="s">
        <v>33</v>
      </c>
      <c r="E228" t="s">
        <v>34</v>
      </c>
      <c r="F228" t="str">
        <f>"0013874"</f>
        <v>0013874</v>
      </c>
      <c r="G228">
        <v>1</v>
      </c>
      <c r="H228" t="str">
        <f>"62930638"</f>
        <v>62930638</v>
      </c>
      <c r="I228" t="s">
        <v>59</v>
      </c>
      <c r="J228"/>
      <c r="K228">
        <v>12.71</v>
      </c>
      <c r="L228">
        <v>0.0</v>
      </c>
      <c r="M228"/>
      <c r="N228"/>
      <c r="O228">
        <v>2.29</v>
      </c>
      <c r="P228">
        <v>0.0</v>
      </c>
      <c r="Q228">
        <v>15.0</v>
      </c>
      <c r="R228"/>
      <c r="S228"/>
      <c r="T228"/>
      <c r="U228"/>
      <c r="V228"/>
      <c r="W228">
        <v>18</v>
      </c>
    </row>
    <row r="229" spans="1:23">
      <c r="A229"/>
      <c r="B229" t="s">
        <v>57</v>
      </c>
      <c r="C229" t="s">
        <v>57</v>
      </c>
      <c r="D229" t="s">
        <v>33</v>
      </c>
      <c r="E229" t="s">
        <v>34</v>
      </c>
      <c r="F229" t="str">
        <f>"0013875"</f>
        <v>0013875</v>
      </c>
      <c r="G229">
        <v>1</v>
      </c>
      <c r="H229" t="str">
        <f>"00000001"</f>
        <v>00000001</v>
      </c>
      <c r="I229" t="s">
        <v>35</v>
      </c>
      <c r="J229"/>
      <c r="K229">
        <v>16.95</v>
      </c>
      <c r="L229">
        <v>0.0</v>
      </c>
      <c r="M229"/>
      <c r="N229"/>
      <c r="O229">
        <v>3.05</v>
      </c>
      <c r="P229">
        <v>0.0</v>
      </c>
      <c r="Q229">
        <v>20.0</v>
      </c>
      <c r="R229"/>
      <c r="S229"/>
      <c r="T229"/>
      <c r="U229"/>
      <c r="V229"/>
      <c r="W229">
        <v>18</v>
      </c>
    </row>
    <row r="230" spans="1:23">
      <c r="A230"/>
      <c r="B230" t="s">
        <v>57</v>
      </c>
      <c r="C230" t="s">
        <v>57</v>
      </c>
      <c r="D230" t="s">
        <v>33</v>
      </c>
      <c r="E230" t="s">
        <v>34</v>
      </c>
      <c r="F230" t="str">
        <f>"0013876"</f>
        <v>0013876</v>
      </c>
      <c r="G230">
        <v>1</v>
      </c>
      <c r="H230" t="str">
        <f>"00000001"</f>
        <v>00000001</v>
      </c>
      <c r="I230" t="s">
        <v>35</v>
      </c>
      <c r="J230"/>
      <c r="K230">
        <v>10.17</v>
      </c>
      <c r="L230">
        <v>0.0</v>
      </c>
      <c r="M230"/>
      <c r="N230"/>
      <c r="O230">
        <v>1.83</v>
      </c>
      <c r="P230">
        <v>0.0</v>
      </c>
      <c r="Q230">
        <v>12.0</v>
      </c>
      <c r="R230"/>
      <c r="S230"/>
      <c r="T230"/>
      <c r="U230"/>
      <c r="V230"/>
      <c r="W230">
        <v>18</v>
      </c>
    </row>
    <row r="231" spans="1:23">
      <c r="A231"/>
      <c r="B231" t="s">
        <v>57</v>
      </c>
      <c r="C231" t="s">
        <v>57</v>
      </c>
      <c r="D231" t="s">
        <v>33</v>
      </c>
      <c r="E231" t="s">
        <v>34</v>
      </c>
      <c r="F231" t="str">
        <f>"0013877"</f>
        <v>0013877</v>
      </c>
      <c r="G231">
        <v>1</v>
      </c>
      <c r="H231" t="str">
        <f>"00000001"</f>
        <v>00000001</v>
      </c>
      <c r="I231" t="s">
        <v>35</v>
      </c>
      <c r="J231"/>
      <c r="K231">
        <v>5.08</v>
      </c>
      <c r="L231">
        <v>0.0</v>
      </c>
      <c r="M231"/>
      <c r="N231"/>
      <c r="O231">
        <v>0.92</v>
      </c>
      <c r="P231">
        <v>0.0</v>
      </c>
      <c r="Q231">
        <v>6.0</v>
      </c>
      <c r="R231"/>
      <c r="S231"/>
      <c r="T231"/>
      <c r="U231"/>
      <c r="V231"/>
      <c r="W231">
        <v>18</v>
      </c>
    </row>
    <row r="232" spans="1:23">
      <c r="A232"/>
      <c r="B232" t="s">
        <v>57</v>
      </c>
      <c r="C232" t="s">
        <v>57</v>
      </c>
      <c r="D232" t="s">
        <v>33</v>
      </c>
      <c r="E232" t="s">
        <v>34</v>
      </c>
      <c r="F232" t="str">
        <f>"0013878"</f>
        <v>0013878</v>
      </c>
      <c r="G232">
        <v>1</v>
      </c>
      <c r="H232" t="str">
        <f>"00000001"</f>
        <v>00000001</v>
      </c>
      <c r="I232" t="s">
        <v>35</v>
      </c>
      <c r="J232"/>
      <c r="K232">
        <v>16.95</v>
      </c>
      <c r="L232">
        <v>0.0</v>
      </c>
      <c r="M232"/>
      <c r="N232"/>
      <c r="O232">
        <v>3.05</v>
      </c>
      <c r="P232">
        <v>0.0</v>
      </c>
      <c r="Q232">
        <v>20.0</v>
      </c>
      <c r="R232"/>
      <c r="S232"/>
      <c r="T232"/>
      <c r="U232"/>
      <c r="V232"/>
      <c r="W232">
        <v>18</v>
      </c>
    </row>
    <row r="233" spans="1:23">
      <c r="A233"/>
      <c r="B233" t="s">
        <v>57</v>
      </c>
      <c r="C233" t="s">
        <v>57</v>
      </c>
      <c r="D233" t="s">
        <v>33</v>
      </c>
      <c r="E233" t="s">
        <v>34</v>
      </c>
      <c r="F233" t="str">
        <f>"0013879"</f>
        <v>0013879</v>
      </c>
      <c r="G233">
        <v>1</v>
      </c>
      <c r="H233" t="str">
        <f>"00000001"</f>
        <v>00000001</v>
      </c>
      <c r="I233" t="s">
        <v>35</v>
      </c>
      <c r="J233"/>
      <c r="K233">
        <v>67.8</v>
      </c>
      <c r="L233">
        <v>0.0</v>
      </c>
      <c r="M233"/>
      <c r="N233"/>
      <c r="O233">
        <v>12.2</v>
      </c>
      <c r="P233">
        <v>0.0</v>
      </c>
      <c r="Q233">
        <v>80.0</v>
      </c>
      <c r="R233"/>
      <c r="S233"/>
      <c r="T233"/>
      <c r="U233"/>
      <c r="V233"/>
      <c r="W233">
        <v>18</v>
      </c>
    </row>
    <row r="234" spans="1:23">
      <c r="A234"/>
      <c r="B234" t="s">
        <v>57</v>
      </c>
      <c r="C234" t="s">
        <v>57</v>
      </c>
      <c r="D234" t="s">
        <v>33</v>
      </c>
      <c r="E234" t="s">
        <v>34</v>
      </c>
      <c r="F234" t="str">
        <f>"0013880"</f>
        <v>0013880</v>
      </c>
      <c r="G234">
        <v>1</v>
      </c>
      <c r="H234" t="str">
        <f>"00000001"</f>
        <v>00000001</v>
      </c>
      <c r="I234" t="s">
        <v>35</v>
      </c>
      <c r="J234"/>
      <c r="K234">
        <v>30.51</v>
      </c>
      <c r="L234">
        <v>0.0</v>
      </c>
      <c r="M234"/>
      <c r="N234"/>
      <c r="O234">
        <v>5.49</v>
      </c>
      <c r="P234">
        <v>0.0</v>
      </c>
      <c r="Q234">
        <v>36.0</v>
      </c>
      <c r="R234"/>
      <c r="S234"/>
      <c r="T234"/>
      <c r="U234"/>
      <c r="V234"/>
      <c r="W234">
        <v>18</v>
      </c>
    </row>
    <row r="235" spans="1:23">
      <c r="A235"/>
      <c r="B235" t="s">
        <v>57</v>
      </c>
      <c r="C235" t="s">
        <v>57</v>
      </c>
      <c r="D235" t="s">
        <v>33</v>
      </c>
      <c r="E235" t="s">
        <v>34</v>
      </c>
      <c r="F235" t="str">
        <f>"0013881"</f>
        <v>0013881</v>
      </c>
      <c r="G235">
        <v>1</v>
      </c>
      <c r="H235" t="str">
        <f>"00000001"</f>
        <v>00000001</v>
      </c>
      <c r="I235" t="s">
        <v>35</v>
      </c>
      <c r="J235"/>
      <c r="K235">
        <v>5.08</v>
      </c>
      <c r="L235">
        <v>0.0</v>
      </c>
      <c r="M235"/>
      <c r="N235"/>
      <c r="O235">
        <v>0.92</v>
      </c>
      <c r="P235">
        <v>0.0</v>
      </c>
      <c r="Q235">
        <v>6.0</v>
      </c>
      <c r="R235"/>
      <c r="S235"/>
      <c r="T235"/>
      <c r="U235"/>
      <c r="V235"/>
      <c r="W235">
        <v>18</v>
      </c>
    </row>
    <row r="236" spans="1:23">
      <c r="A236"/>
      <c r="B236" t="s">
        <v>57</v>
      </c>
      <c r="C236" t="s">
        <v>57</v>
      </c>
      <c r="D236" t="s">
        <v>33</v>
      </c>
      <c r="E236" t="s">
        <v>34</v>
      </c>
      <c r="F236" t="str">
        <f>"0013882"</f>
        <v>0013882</v>
      </c>
      <c r="G236">
        <v>1</v>
      </c>
      <c r="H236" t="str">
        <f>"00000001"</f>
        <v>00000001</v>
      </c>
      <c r="I236" t="s">
        <v>35</v>
      </c>
      <c r="J236"/>
      <c r="K236">
        <v>18.64</v>
      </c>
      <c r="L236">
        <v>0.0</v>
      </c>
      <c r="M236"/>
      <c r="N236"/>
      <c r="O236">
        <v>3.36</v>
      </c>
      <c r="P236">
        <v>0.0</v>
      </c>
      <c r="Q236">
        <v>22.0</v>
      </c>
      <c r="R236"/>
      <c r="S236"/>
      <c r="T236"/>
      <c r="U236"/>
      <c r="V236"/>
      <c r="W236">
        <v>18</v>
      </c>
    </row>
    <row r="237" spans="1:23">
      <c r="A237"/>
      <c r="B237" t="s">
        <v>57</v>
      </c>
      <c r="C237" t="s">
        <v>57</v>
      </c>
      <c r="D237" t="s">
        <v>33</v>
      </c>
      <c r="E237" t="s">
        <v>34</v>
      </c>
      <c r="F237" t="str">
        <f>"0013883"</f>
        <v>0013883</v>
      </c>
      <c r="G237">
        <v>1</v>
      </c>
      <c r="H237" t="str">
        <f>"00000001"</f>
        <v>00000001</v>
      </c>
      <c r="I237" t="s">
        <v>35</v>
      </c>
      <c r="J237"/>
      <c r="K237">
        <v>8.47</v>
      </c>
      <c r="L237">
        <v>0.0</v>
      </c>
      <c r="M237"/>
      <c r="N237"/>
      <c r="O237">
        <v>1.53</v>
      </c>
      <c r="P237">
        <v>0.0</v>
      </c>
      <c r="Q237">
        <v>10.0</v>
      </c>
      <c r="R237"/>
      <c r="S237"/>
      <c r="T237"/>
      <c r="U237"/>
      <c r="V237"/>
      <c r="W237">
        <v>18</v>
      </c>
    </row>
    <row r="238" spans="1:23">
      <c r="A238"/>
      <c r="B238" t="s">
        <v>57</v>
      </c>
      <c r="C238" t="s">
        <v>57</v>
      </c>
      <c r="D238" t="s">
        <v>33</v>
      </c>
      <c r="E238" t="s">
        <v>34</v>
      </c>
      <c r="F238" t="str">
        <f>"0013884"</f>
        <v>0013884</v>
      </c>
      <c r="G238">
        <v>1</v>
      </c>
      <c r="H238" t="str">
        <f>"00000001"</f>
        <v>00000001</v>
      </c>
      <c r="I238" t="s">
        <v>35</v>
      </c>
      <c r="J238"/>
      <c r="K238">
        <v>12.71</v>
      </c>
      <c r="L238">
        <v>0.0</v>
      </c>
      <c r="M238"/>
      <c r="N238"/>
      <c r="O238">
        <v>2.29</v>
      </c>
      <c r="P238">
        <v>0.0</v>
      </c>
      <c r="Q238">
        <v>15.0</v>
      </c>
      <c r="R238"/>
      <c r="S238"/>
      <c r="T238"/>
      <c r="U238"/>
      <c r="V238"/>
      <c r="W238">
        <v>18</v>
      </c>
    </row>
    <row r="239" spans="1:23">
      <c r="A239"/>
      <c r="B239" t="s">
        <v>57</v>
      </c>
      <c r="C239" t="s">
        <v>57</v>
      </c>
      <c r="D239" t="s">
        <v>33</v>
      </c>
      <c r="E239" t="s">
        <v>34</v>
      </c>
      <c r="F239" t="str">
        <f>"0013885"</f>
        <v>0013885</v>
      </c>
      <c r="G239">
        <v>1</v>
      </c>
      <c r="H239" t="str">
        <f>"00000001"</f>
        <v>00000001</v>
      </c>
      <c r="I239" t="s">
        <v>35</v>
      </c>
      <c r="J239"/>
      <c r="K239">
        <v>15.25</v>
      </c>
      <c r="L239">
        <v>0.0</v>
      </c>
      <c r="M239"/>
      <c r="N239"/>
      <c r="O239">
        <v>2.75</v>
      </c>
      <c r="P239">
        <v>0.0</v>
      </c>
      <c r="Q239">
        <v>18.0</v>
      </c>
      <c r="R239"/>
      <c r="S239"/>
      <c r="T239"/>
      <c r="U239"/>
      <c r="V239"/>
      <c r="W239">
        <v>18</v>
      </c>
    </row>
    <row r="240" spans="1:23">
      <c r="A240"/>
      <c r="B240" t="s">
        <v>57</v>
      </c>
      <c r="C240" t="s">
        <v>57</v>
      </c>
      <c r="D240" t="s">
        <v>33</v>
      </c>
      <c r="E240" t="s">
        <v>34</v>
      </c>
      <c r="F240" t="str">
        <f>"0013886"</f>
        <v>0013886</v>
      </c>
      <c r="G240">
        <v>1</v>
      </c>
      <c r="H240" t="str">
        <f>"00000001"</f>
        <v>00000001</v>
      </c>
      <c r="I240" t="s">
        <v>35</v>
      </c>
      <c r="J240"/>
      <c r="K240">
        <v>20.34</v>
      </c>
      <c r="L240">
        <v>0.0</v>
      </c>
      <c r="M240"/>
      <c r="N240"/>
      <c r="O240">
        <v>3.66</v>
      </c>
      <c r="P240">
        <v>0.0</v>
      </c>
      <c r="Q240">
        <v>24.0</v>
      </c>
      <c r="R240"/>
      <c r="S240"/>
      <c r="T240"/>
      <c r="U240"/>
      <c r="V240"/>
      <c r="W240">
        <v>18</v>
      </c>
    </row>
    <row r="241" spans="1:23">
      <c r="A241"/>
      <c r="B241" t="s">
        <v>57</v>
      </c>
      <c r="C241" t="s">
        <v>57</v>
      </c>
      <c r="D241" t="s">
        <v>33</v>
      </c>
      <c r="E241" t="s">
        <v>34</v>
      </c>
      <c r="F241" t="str">
        <f>"0013887"</f>
        <v>0013887</v>
      </c>
      <c r="G241">
        <v>1</v>
      </c>
      <c r="H241" t="str">
        <f>"00000001"</f>
        <v>00000001</v>
      </c>
      <c r="I241" t="s">
        <v>35</v>
      </c>
      <c r="J241"/>
      <c r="K241">
        <v>10.17</v>
      </c>
      <c r="L241">
        <v>0.0</v>
      </c>
      <c r="M241"/>
      <c r="N241"/>
      <c r="O241">
        <v>1.83</v>
      </c>
      <c r="P241">
        <v>0.0</v>
      </c>
      <c r="Q241">
        <v>12.0</v>
      </c>
      <c r="R241"/>
      <c r="S241"/>
      <c r="T241"/>
      <c r="U241"/>
      <c r="V241"/>
      <c r="W241">
        <v>18</v>
      </c>
    </row>
    <row r="242" spans="1:23">
      <c r="A242"/>
      <c r="B242" t="s">
        <v>57</v>
      </c>
      <c r="C242" t="s">
        <v>57</v>
      </c>
      <c r="D242" t="s">
        <v>33</v>
      </c>
      <c r="E242" t="s">
        <v>34</v>
      </c>
      <c r="F242" t="str">
        <f>"0013888"</f>
        <v>0013888</v>
      </c>
      <c r="G242">
        <v>1</v>
      </c>
      <c r="H242" t="str">
        <f>"00000001"</f>
        <v>00000001</v>
      </c>
      <c r="I242" t="s">
        <v>35</v>
      </c>
      <c r="J242"/>
      <c r="K242">
        <v>4.41</v>
      </c>
      <c r="L242">
        <v>0.0</v>
      </c>
      <c r="M242"/>
      <c r="N242"/>
      <c r="O242">
        <v>0.79</v>
      </c>
      <c r="P242">
        <v>0.0</v>
      </c>
      <c r="Q242">
        <v>5.2</v>
      </c>
      <c r="R242"/>
      <c r="S242"/>
      <c r="T242"/>
      <c r="U242"/>
      <c r="V242"/>
      <c r="W242">
        <v>18</v>
      </c>
    </row>
    <row r="243" spans="1:23">
      <c r="A243"/>
      <c r="B243" t="s">
        <v>57</v>
      </c>
      <c r="C243" t="s">
        <v>57</v>
      </c>
      <c r="D243" t="s">
        <v>33</v>
      </c>
      <c r="E243" t="s">
        <v>34</v>
      </c>
      <c r="F243" t="str">
        <f>"0013889"</f>
        <v>0013889</v>
      </c>
      <c r="G243">
        <v>1</v>
      </c>
      <c r="H243" t="str">
        <f>"00000001"</f>
        <v>00000001</v>
      </c>
      <c r="I243" t="s">
        <v>35</v>
      </c>
      <c r="J243"/>
      <c r="K243">
        <v>16.95</v>
      </c>
      <c r="L243">
        <v>0.0</v>
      </c>
      <c r="M243"/>
      <c r="N243"/>
      <c r="O243">
        <v>3.05</v>
      </c>
      <c r="P243">
        <v>0.0</v>
      </c>
      <c r="Q243">
        <v>20.0</v>
      </c>
      <c r="R243"/>
      <c r="S243"/>
      <c r="T243"/>
      <c r="U243"/>
      <c r="V243"/>
      <c r="W243">
        <v>18</v>
      </c>
    </row>
    <row r="244" spans="1:23">
      <c r="A244"/>
      <c r="B244" t="s">
        <v>57</v>
      </c>
      <c r="C244" t="s">
        <v>57</v>
      </c>
      <c r="D244" t="s">
        <v>33</v>
      </c>
      <c r="E244" t="s">
        <v>34</v>
      </c>
      <c r="F244" t="str">
        <f>"0013890"</f>
        <v>0013890</v>
      </c>
      <c r="G244">
        <v>1</v>
      </c>
      <c r="H244" t="str">
        <f>"00000001"</f>
        <v>00000001</v>
      </c>
      <c r="I244" t="s">
        <v>35</v>
      </c>
      <c r="J244"/>
      <c r="K244">
        <v>0.85</v>
      </c>
      <c r="L244">
        <v>0.0</v>
      </c>
      <c r="M244"/>
      <c r="N244"/>
      <c r="O244">
        <v>0.15</v>
      </c>
      <c r="P244">
        <v>0.0</v>
      </c>
      <c r="Q244">
        <v>1.0</v>
      </c>
      <c r="R244"/>
      <c r="S244"/>
      <c r="T244"/>
      <c r="U244"/>
      <c r="V244"/>
      <c r="W244">
        <v>18</v>
      </c>
    </row>
    <row r="245" spans="1:23">
      <c r="A245"/>
      <c r="B245" t="s">
        <v>57</v>
      </c>
      <c r="C245" t="s">
        <v>57</v>
      </c>
      <c r="D245" t="s">
        <v>33</v>
      </c>
      <c r="E245" t="s">
        <v>34</v>
      </c>
      <c r="F245" t="str">
        <f>"0013891"</f>
        <v>0013891</v>
      </c>
      <c r="G245">
        <v>1</v>
      </c>
      <c r="H245" t="str">
        <f>"00000001"</f>
        <v>00000001</v>
      </c>
      <c r="I245" t="s">
        <v>35</v>
      </c>
      <c r="J245"/>
      <c r="K245">
        <v>1.53</v>
      </c>
      <c r="L245">
        <v>0.0</v>
      </c>
      <c r="M245"/>
      <c r="N245"/>
      <c r="O245">
        <v>0.27</v>
      </c>
      <c r="P245">
        <v>0.0</v>
      </c>
      <c r="Q245">
        <v>1.8</v>
      </c>
      <c r="R245"/>
      <c r="S245"/>
      <c r="T245"/>
      <c r="U245"/>
      <c r="V245"/>
      <c r="W245">
        <v>18</v>
      </c>
    </row>
    <row r="246" spans="1:23">
      <c r="A246"/>
      <c r="B246" t="s">
        <v>57</v>
      </c>
      <c r="C246" t="s">
        <v>57</v>
      </c>
      <c r="D246" t="s">
        <v>33</v>
      </c>
      <c r="E246" t="s">
        <v>34</v>
      </c>
      <c r="F246" t="str">
        <f>"0013892"</f>
        <v>0013892</v>
      </c>
      <c r="G246">
        <v>1</v>
      </c>
      <c r="H246" t="str">
        <f>"00000001"</f>
        <v>00000001</v>
      </c>
      <c r="I246" t="s">
        <v>35</v>
      </c>
      <c r="J246"/>
      <c r="K246">
        <v>6.78</v>
      </c>
      <c r="L246">
        <v>0.0</v>
      </c>
      <c r="M246"/>
      <c r="N246"/>
      <c r="O246">
        <v>1.22</v>
      </c>
      <c r="P246">
        <v>0.0</v>
      </c>
      <c r="Q246">
        <v>8.0</v>
      </c>
      <c r="R246"/>
      <c r="S246"/>
      <c r="T246"/>
      <c r="U246"/>
      <c r="V246"/>
      <c r="W246">
        <v>18</v>
      </c>
    </row>
    <row r="247" spans="1:23">
      <c r="A247"/>
      <c r="B247" t="s">
        <v>57</v>
      </c>
      <c r="C247" t="s">
        <v>57</v>
      </c>
      <c r="D247" t="s">
        <v>33</v>
      </c>
      <c r="E247" t="s">
        <v>34</v>
      </c>
      <c r="F247" t="str">
        <f>"0013893"</f>
        <v>0013893</v>
      </c>
      <c r="G247">
        <v>1</v>
      </c>
      <c r="H247" t="str">
        <f>"00000001"</f>
        <v>00000001</v>
      </c>
      <c r="I247" t="s">
        <v>35</v>
      </c>
      <c r="J247"/>
      <c r="K247">
        <v>1.69</v>
      </c>
      <c r="L247">
        <v>0.0</v>
      </c>
      <c r="M247"/>
      <c r="N247"/>
      <c r="O247">
        <v>0.31</v>
      </c>
      <c r="P247">
        <v>0.0</v>
      </c>
      <c r="Q247">
        <v>2.0</v>
      </c>
      <c r="R247"/>
      <c r="S247"/>
      <c r="T247"/>
      <c r="U247"/>
      <c r="V247"/>
      <c r="W247">
        <v>18</v>
      </c>
    </row>
    <row r="248" spans="1:23">
      <c r="A248"/>
      <c r="B248" t="s">
        <v>57</v>
      </c>
      <c r="C248" t="s">
        <v>57</v>
      </c>
      <c r="D248" t="s">
        <v>33</v>
      </c>
      <c r="E248" t="s">
        <v>34</v>
      </c>
      <c r="F248" t="str">
        <f>"0013894"</f>
        <v>0013894</v>
      </c>
      <c r="G248">
        <v>1</v>
      </c>
      <c r="H248" t="str">
        <f>"00000001"</f>
        <v>00000001</v>
      </c>
      <c r="I248" t="s">
        <v>35</v>
      </c>
      <c r="J248"/>
      <c r="K248">
        <v>16.95</v>
      </c>
      <c r="L248">
        <v>0.0</v>
      </c>
      <c r="M248"/>
      <c r="N248"/>
      <c r="O248">
        <v>3.05</v>
      </c>
      <c r="P248">
        <v>0.0</v>
      </c>
      <c r="Q248">
        <v>20.0</v>
      </c>
      <c r="R248"/>
      <c r="S248"/>
      <c r="T248"/>
      <c r="U248"/>
      <c r="V248"/>
      <c r="W248">
        <v>18</v>
      </c>
    </row>
    <row r="249" spans="1:23">
      <c r="A249"/>
      <c r="B249" t="s">
        <v>57</v>
      </c>
      <c r="C249" t="s">
        <v>57</v>
      </c>
      <c r="D249" t="s">
        <v>33</v>
      </c>
      <c r="E249" t="s">
        <v>34</v>
      </c>
      <c r="F249" t="str">
        <f>"0013895"</f>
        <v>0013895</v>
      </c>
      <c r="G249">
        <v>1</v>
      </c>
      <c r="H249" t="str">
        <f>"00000001"</f>
        <v>00000001</v>
      </c>
      <c r="I249" t="s">
        <v>35</v>
      </c>
      <c r="J249"/>
      <c r="K249">
        <v>5.51</v>
      </c>
      <c r="L249">
        <v>0.0</v>
      </c>
      <c r="M249"/>
      <c r="N249"/>
      <c r="O249">
        <v>0.99</v>
      </c>
      <c r="P249">
        <v>0.0</v>
      </c>
      <c r="Q249">
        <v>6.5</v>
      </c>
      <c r="R249"/>
      <c r="S249"/>
      <c r="T249"/>
      <c r="U249"/>
      <c r="V249"/>
      <c r="W249">
        <v>18</v>
      </c>
    </row>
    <row r="250" spans="1:23">
      <c r="A250"/>
      <c r="B250" t="s">
        <v>57</v>
      </c>
      <c r="C250" t="s">
        <v>57</v>
      </c>
      <c r="D250" t="s">
        <v>33</v>
      </c>
      <c r="E250" t="s">
        <v>34</v>
      </c>
      <c r="F250" t="str">
        <f>"0013896"</f>
        <v>0013896</v>
      </c>
      <c r="G250">
        <v>1</v>
      </c>
      <c r="H250" t="str">
        <f>"00000001"</f>
        <v>00000001</v>
      </c>
      <c r="I250" t="s">
        <v>35</v>
      </c>
      <c r="J250"/>
      <c r="K250">
        <v>12.71</v>
      </c>
      <c r="L250">
        <v>0.0</v>
      </c>
      <c r="M250"/>
      <c r="N250"/>
      <c r="O250">
        <v>2.29</v>
      </c>
      <c r="P250">
        <v>0.0</v>
      </c>
      <c r="Q250">
        <v>15.0</v>
      </c>
      <c r="R250"/>
      <c r="S250"/>
      <c r="T250"/>
      <c r="U250"/>
      <c r="V250"/>
      <c r="W250">
        <v>18</v>
      </c>
    </row>
    <row r="251" spans="1:23">
      <c r="A251"/>
      <c r="B251" t="s">
        <v>57</v>
      </c>
      <c r="C251" t="s">
        <v>57</v>
      </c>
      <c r="D251" t="s">
        <v>33</v>
      </c>
      <c r="E251" t="s">
        <v>34</v>
      </c>
      <c r="F251" t="str">
        <f>"0013897"</f>
        <v>0013897</v>
      </c>
      <c r="G251">
        <v>1</v>
      </c>
      <c r="H251" t="str">
        <f>"00000001"</f>
        <v>00000001</v>
      </c>
      <c r="I251" t="s">
        <v>35</v>
      </c>
      <c r="J251"/>
      <c r="K251">
        <v>8.47</v>
      </c>
      <c r="L251">
        <v>0.0</v>
      </c>
      <c r="M251"/>
      <c r="N251"/>
      <c r="O251">
        <v>1.53</v>
      </c>
      <c r="P251">
        <v>0.0</v>
      </c>
      <c r="Q251">
        <v>10.0</v>
      </c>
      <c r="R251"/>
      <c r="S251"/>
      <c r="T251"/>
      <c r="U251"/>
      <c r="V251"/>
      <c r="W251">
        <v>18</v>
      </c>
    </row>
    <row r="252" spans="1:23">
      <c r="A252"/>
      <c r="B252" t="s">
        <v>57</v>
      </c>
      <c r="C252" t="s">
        <v>57</v>
      </c>
      <c r="D252" t="s">
        <v>33</v>
      </c>
      <c r="E252" t="s">
        <v>34</v>
      </c>
      <c r="F252" t="str">
        <f>"0013898"</f>
        <v>0013898</v>
      </c>
      <c r="G252">
        <v>1</v>
      </c>
      <c r="H252" t="str">
        <f>"00000001"</f>
        <v>00000001</v>
      </c>
      <c r="I252" t="s">
        <v>35</v>
      </c>
      <c r="J252"/>
      <c r="K252">
        <v>5.08</v>
      </c>
      <c r="L252">
        <v>0.0</v>
      </c>
      <c r="M252"/>
      <c r="N252"/>
      <c r="O252">
        <v>0.92</v>
      </c>
      <c r="P252">
        <v>0.0</v>
      </c>
      <c r="Q252">
        <v>6.0</v>
      </c>
      <c r="R252"/>
      <c r="S252"/>
      <c r="T252"/>
      <c r="U252"/>
      <c r="V252"/>
      <c r="W252">
        <v>18</v>
      </c>
    </row>
    <row r="253" spans="1:23">
      <c r="A253"/>
      <c r="B253" t="s">
        <v>57</v>
      </c>
      <c r="C253" t="s">
        <v>57</v>
      </c>
      <c r="D253" t="s">
        <v>33</v>
      </c>
      <c r="E253" t="s">
        <v>34</v>
      </c>
      <c r="F253" t="str">
        <f>"0013899"</f>
        <v>0013899</v>
      </c>
      <c r="G253">
        <v>1</v>
      </c>
      <c r="H253" t="str">
        <f>"00000001"</f>
        <v>00000001</v>
      </c>
      <c r="I253" t="s">
        <v>35</v>
      </c>
      <c r="J253"/>
      <c r="K253">
        <v>7.63</v>
      </c>
      <c r="L253">
        <v>0.0</v>
      </c>
      <c r="M253"/>
      <c r="N253"/>
      <c r="O253">
        <v>1.37</v>
      </c>
      <c r="P253">
        <v>0.0</v>
      </c>
      <c r="Q253">
        <v>9.0</v>
      </c>
      <c r="R253"/>
      <c r="S253"/>
      <c r="T253"/>
      <c r="U253"/>
      <c r="V253"/>
      <c r="W253">
        <v>18</v>
      </c>
    </row>
    <row r="254" spans="1:23">
      <c r="A254"/>
      <c r="B254" t="s">
        <v>57</v>
      </c>
      <c r="C254" t="s">
        <v>57</v>
      </c>
      <c r="D254" t="s">
        <v>33</v>
      </c>
      <c r="E254" t="s">
        <v>34</v>
      </c>
      <c r="F254" t="str">
        <f>"0013900"</f>
        <v>0013900</v>
      </c>
      <c r="G254">
        <v>1</v>
      </c>
      <c r="H254" t="str">
        <f>"00000001"</f>
        <v>00000001</v>
      </c>
      <c r="I254" t="s">
        <v>35</v>
      </c>
      <c r="J254"/>
      <c r="K254">
        <v>3.39</v>
      </c>
      <c r="L254">
        <v>0.0</v>
      </c>
      <c r="M254"/>
      <c r="N254"/>
      <c r="O254">
        <v>0.61</v>
      </c>
      <c r="P254">
        <v>0.0</v>
      </c>
      <c r="Q254">
        <v>4.0</v>
      </c>
      <c r="R254"/>
      <c r="S254"/>
      <c r="T254"/>
      <c r="U254"/>
      <c r="V254"/>
      <c r="W254">
        <v>18</v>
      </c>
    </row>
    <row r="255" spans="1:23">
      <c r="A255"/>
      <c r="B255" t="s">
        <v>57</v>
      </c>
      <c r="C255" t="s">
        <v>57</v>
      </c>
      <c r="D255" t="s">
        <v>33</v>
      </c>
      <c r="E255" t="s">
        <v>34</v>
      </c>
      <c r="F255" t="str">
        <f>"0013901"</f>
        <v>0013901</v>
      </c>
      <c r="G255">
        <v>1</v>
      </c>
      <c r="H255" t="str">
        <f>"00000001"</f>
        <v>00000001</v>
      </c>
      <c r="I255" t="s">
        <v>35</v>
      </c>
      <c r="J255"/>
      <c r="K255">
        <v>6.78</v>
      </c>
      <c r="L255">
        <v>0.0</v>
      </c>
      <c r="M255"/>
      <c r="N255"/>
      <c r="O255">
        <v>1.22</v>
      </c>
      <c r="P255">
        <v>0.0</v>
      </c>
      <c r="Q255">
        <v>8.0</v>
      </c>
      <c r="R255"/>
      <c r="S255"/>
      <c r="T255"/>
      <c r="U255"/>
      <c r="V255"/>
      <c r="W255">
        <v>18</v>
      </c>
    </row>
    <row r="256" spans="1:23">
      <c r="A256"/>
      <c r="B256" t="s">
        <v>57</v>
      </c>
      <c r="C256" t="s">
        <v>57</v>
      </c>
      <c r="D256" t="s">
        <v>33</v>
      </c>
      <c r="E256" t="s">
        <v>34</v>
      </c>
      <c r="F256" t="str">
        <f>"0013902"</f>
        <v>0013902</v>
      </c>
      <c r="G256">
        <v>1</v>
      </c>
      <c r="H256" t="str">
        <f>"00000001"</f>
        <v>00000001</v>
      </c>
      <c r="I256" t="s">
        <v>35</v>
      </c>
      <c r="J256"/>
      <c r="K256">
        <v>3.39</v>
      </c>
      <c r="L256">
        <v>0.0</v>
      </c>
      <c r="M256"/>
      <c r="N256"/>
      <c r="O256">
        <v>0.61</v>
      </c>
      <c r="P256">
        <v>0.0</v>
      </c>
      <c r="Q256">
        <v>4.0</v>
      </c>
      <c r="R256"/>
      <c r="S256"/>
      <c r="T256"/>
      <c r="U256"/>
      <c r="V256"/>
      <c r="W256">
        <v>18</v>
      </c>
    </row>
    <row r="257" spans="1:23">
      <c r="A257"/>
      <c r="B257" t="s">
        <v>60</v>
      </c>
      <c r="C257" t="s">
        <v>60</v>
      </c>
      <c r="D257" t="s">
        <v>33</v>
      </c>
      <c r="E257" t="s">
        <v>34</v>
      </c>
      <c r="F257" t="str">
        <f>"0013903"</f>
        <v>0013903</v>
      </c>
      <c r="G257">
        <v>1</v>
      </c>
      <c r="H257" t="str">
        <f>"00000001"</f>
        <v>00000001</v>
      </c>
      <c r="I257" t="s">
        <v>35</v>
      </c>
      <c r="J257"/>
      <c r="K257">
        <v>51.27</v>
      </c>
      <c r="L257">
        <v>0.0</v>
      </c>
      <c r="M257"/>
      <c r="N257"/>
      <c r="O257">
        <v>9.23</v>
      </c>
      <c r="P257">
        <v>0.0</v>
      </c>
      <c r="Q257">
        <v>60.5</v>
      </c>
      <c r="R257"/>
      <c r="S257"/>
      <c r="T257"/>
      <c r="U257"/>
      <c r="V257"/>
      <c r="W257">
        <v>18</v>
      </c>
    </row>
    <row r="258" spans="1:23">
      <c r="A258"/>
      <c r="B258" t="s">
        <v>60</v>
      </c>
      <c r="C258" t="s">
        <v>60</v>
      </c>
      <c r="D258" t="s">
        <v>33</v>
      </c>
      <c r="E258" t="s">
        <v>34</v>
      </c>
      <c r="F258" t="str">
        <f>"0013904"</f>
        <v>0013904</v>
      </c>
      <c r="G258">
        <v>1</v>
      </c>
      <c r="H258" t="str">
        <f>"00000001"</f>
        <v>00000001</v>
      </c>
      <c r="I258" t="s">
        <v>35</v>
      </c>
      <c r="J258"/>
      <c r="K258">
        <v>6.78</v>
      </c>
      <c r="L258">
        <v>0.0</v>
      </c>
      <c r="M258"/>
      <c r="N258"/>
      <c r="O258">
        <v>1.22</v>
      </c>
      <c r="P258">
        <v>0.0</v>
      </c>
      <c r="Q258">
        <v>8.0</v>
      </c>
      <c r="R258"/>
      <c r="S258"/>
      <c r="T258"/>
      <c r="U258"/>
      <c r="V258"/>
      <c r="W258">
        <v>18</v>
      </c>
    </row>
    <row r="259" spans="1:23">
      <c r="A259"/>
      <c r="B259" t="s">
        <v>60</v>
      </c>
      <c r="C259" t="s">
        <v>60</v>
      </c>
      <c r="D259" t="s">
        <v>33</v>
      </c>
      <c r="E259" t="s">
        <v>34</v>
      </c>
      <c r="F259" t="str">
        <f>"0013905"</f>
        <v>0013905</v>
      </c>
      <c r="G259">
        <v>1</v>
      </c>
      <c r="H259" t="str">
        <f>"00000001"</f>
        <v>00000001</v>
      </c>
      <c r="I259" t="s">
        <v>35</v>
      </c>
      <c r="J259"/>
      <c r="K259">
        <v>12.71</v>
      </c>
      <c r="L259">
        <v>0.0</v>
      </c>
      <c r="M259"/>
      <c r="N259"/>
      <c r="O259">
        <v>2.29</v>
      </c>
      <c r="P259">
        <v>0.0</v>
      </c>
      <c r="Q259">
        <v>15.0</v>
      </c>
      <c r="R259"/>
      <c r="S259"/>
      <c r="T259"/>
      <c r="U259"/>
      <c r="V259"/>
      <c r="W259">
        <v>18</v>
      </c>
    </row>
    <row r="260" spans="1:23">
      <c r="A260"/>
      <c r="B260" t="s">
        <v>60</v>
      </c>
      <c r="C260" t="s">
        <v>60</v>
      </c>
      <c r="D260" t="s">
        <v>33</v>
      </c>
      <c r="E260" t="s">
        <v>34</v>
      </c>
      <c r="F260" t="str">
        <f>"0013906"</f>
        <v>0013906</v>
      </c>
      <c r="G260">
        <v>1</v>
      </c>
      <c r="H260" t="str">
        <f>"00000001"</f>
        <v>00000001</v>
      </c>
      <c r="I260" t="s">
        <v>35</v>
      </c>
      <c r="J260"/>
      <c r="K260">
        <v>23.31</v>
      </c>
      <c r="L260">
        <v>0.0</v>
      </c>
      <c r="M260"/>
      <c r="N260"/>
      <c r="O260">
        <v>4.19</v>
      </c>
      <c r="P260">
        <v>0.0</v>
      </c>
      <c r="Q260">
        <v>27.5</v>
      </c>
      <c r="R260"/>
      <c r="S260"/>
      <c r="T260"/>
      <c r="U260"/>
      <c r="V260"/>
      <c r="W260">
        <v>18</v>
      </c>
    </row>
    <row r="261" spans="1:23">
      <c r="A261"/>
      <c r="B261" t="s">
        <v>60</v>
      </c>
      <c r="C261" t="s">
        <v>60</v>
      </c>
      <c r="D261" t="s">
        <v>33</v>
      </c>
      <c r="E261" t="s">
        <v>34</v>
      </c>
      <c r="F261" t="str">
        <f>"0013907"</f>
        <v>0013907</v>
      </c>
      <c r="G261">
        <v>1</v>
      </c>
      <c r="H261" t="str">
        <f>"00000001"</f>
        <v>00000001</v>
      </c>
      <c r="I261" t="s">
        <v>35</v>
      </c>
      <c r="J261"/>
      <c r="K261">
        <v>4.24</v>
      </c>
      <c r="L261">
        <v>0.0</v>
      </c>
      <c r="M261"/>
      <c r="N261"/>
      <c r="O261">
        <v>0.76</v>
      </c>
      <c r="P261">
        <v>0.0</v>
      </c>
      <c r="Q261">
        <v>5.0</v>
      </c>
      <c r="R261"/>
      <c r="S261"/>
      <c r="T261"/>
      <c r="U261"/>
      <c r="V261"/>
      <c r="W261">
        <v>18</v>
      </c>
    </row>
    <row r="262" spans="1:23">
      <c r="A262"/>
      <c r="B262" t="s">
        <v>60</v>
      </c>
      <c r="C262" t="s">
        <v>60</v>
      </c>
      <c r="D262" t="s">
        <v>33</v>
      </c>
      <c r="E262" t="s">
        <v>34</v>
      </c>
      <c r="F262" t="str">
        <f>"0013908"</f>
        <v>0013908</v>
      </c>
      <c r="G262">
        <v>1</v>
      </c>
      <c r="H262" t="str">
        <f>"00000001"</f>
        <v>00000001</v>
      </c>
      <c r="I262" t="s">
        <v>35</v>
      </c>
      <c r="J262"/>
      <c r="K262">
        <v>14.41</v>
      </c>
      <c r="L262">
        <v>0.0</v>
      </c>
      <c r="M262"/>
      <c r="N262"/>
      <c r="O262">
        <v>2.59</v>
      </c>
      <c r="P262">
        <v>0.0</v>
      </c>
      <c r="Q262">
        <v>17.0</v>
      </c>
      <c r="R262"/>
      <c r="S262"/>
      <c r="T262"/>
      <c r="U262"/>
      <c r="V262"/>
      <c r="W262">
        <v>18</v>
      </c>
    </row>
    <row r="263" spans="1:23">
      <c r="A263"/>
      <c r="B263" t="s">
        <v>60</v>
      </c>
      <c r="C263" t="s">
        <v>60</v>
      </c>
      <c r="D263" t="s">
        <v>40</v>
      </c>
      <c r="E263" t="s">
        <v>41</v>
      </c>
      <c r="F263" t="str">
        <f>"0001267"</f>
        <v>0001267</v>
      </c>
      <c r="G263">
        <v>6</v>
      </c>
      <c r="H263" t="str">
        <f>"20606259094"</f>
        <v>20606259094</v>
      </c>
      <c r="I263" t="s">
        <v>61</v>
      </c>
      <c r="J263"/>
      <c r="K263">
        <v>57.63</v>
      </c>
      <c r="L263">
        <v>0.0</v>
      </c>
      <c r="M263"/>
      <c r="N263"/>
      <c r="O263">
        <v>10.37</v>
      </c>
      <c r="P263">
        <v>0.0</v>
      </c>
      <c r="Q263">
        <v>68.0</v>
      </c>
      <c r="R263"/>
      <c r="S263"/>
      <c r="T263"/>
      <c r="U263"/>
      <c r="V263"/>
      <c r="W263">
        <v>18</v>
      </c>
    </row>
    <row r="264" spans="1:23">
      <c r="A264"/>
      <c r="B264" t="s">
        <v>60</v>
      </c>
      <c r="C264" t="s">
        <v>60</v>
      </c>
      <c r="D264" t="s">
        <v>33</v>
      </c>
      <c r="E264" t="s">
        <v>34</v>
      </c>
      <c r="F264" t="str">
        <f>"0013909"</f>
        <v>0013909</v>
      </c>
      <c r="G264">
        <v>1</v>
      </c>
      <c r="H264" t="str">
        <f>"00000001"</f>
        <v>00000001</v>
      </c>
      <c r="I264" t="s">
        <v>35</v>
      </c>
      <c r="J264"/>
      <c r="K264">
        <v>8.47</v>
      </c>
      <c r="L264">
        <v>0.0</v>
      </c>
      <c r="M264"/>
      <c r="N264"/>
      <c r="O264">
        <v>1.53</v>
      </c>
      <c r="P264">
        <v>0.0</v>
      </c>
      <c r="Q264">
        <v>10.0</v>
      </c>
      <c r="R264"/>
      <c r="S264"/>
      <c r="T264"/>
      <c r="U264"/>
      <c r="V264"/>
      <c r="W264">
        <v>18</v>
      </c>
    </row>
    <row r="265" spans="1:23">
      <c r="A265"/>
      <c r="B265" t="s">
        <v>60</v>
      </c>
      <c r="C265" t="s">
        <v>60</v>
      </c>
      <c r="D265" t="s">
        <v>33</v>
      </c>
      <c r="E265" t="s">
        <v>34</v>
      </c>
      <c r="F265" t="str">
        <f>"0013910"</f>
        <v>0013910</v>
      </c>
      <c r="G265">
        <v>1</v>
      </c>
      <c r="H265" t="str">
        <f>"00000001"</f>
        <v>00000001</v>
      </c>
      <c r="I265" t="s">
        <v>35</v>
      </c>
      <c r="J265"/>
      <c r="K265">
        <v>8.47</v>
      </c>
      <c r="L265">
        <v>0.0</v>
      </c>
      <c r="M265"/>
      <c r="N265"/>
      <c r="O265">
        <v>1.53</v>
      </c>
      <c r="P265">
        <v>0.0</v>
      </c>
      <c r="Q265">
        <v>10.0</v>
      </c>
      <c r="R265"/>
      <c r="S265"/>
      <c r="T265"/>
      <c r="U265"/>
      <c r="V265"/>
      <c r="W265">
        <v>18</v>
      </c>
    </row>
    <row r="266" spans="1:23">
      <c r="A266"/>
      <c r="B266" t="s">
        <v>60</v>
      </c>
      <c r="C266" t="s">
        <v>60</v>
      </c>
      <c r="D266" t="s">
        <v>33</v>
      </c>
      <c r="E266" t="s">
        <v>34</v>
      </c>
      <c r="F266" t="str">
        <f>"0013911"</f>
        <v>0013911</v>
      </c>
      <c r="G266">
        <v>1</v>
      </c>
      <c r="H266" t="str">
        <f>"00000001"</f>
        <v>00000001</v>
      </c>
      <c r="I266" t="s">
        <v>35</v>
      </c>
      <c r="J266"/>
      <c r="K266">
        <v>4.75</v>
      </c>
      <c r="L266">
        <v>0.0</v>
      </c>
      <c r="M266"/>
      <c r="N266"/>
      <c r="O266">
        <v>0.85</v>
      </c>
      <c r="P266">
        <v>0.0</v>
      </c>
      <c r="Q266">
        <v>5.6</v>
      </c>
      <c r="R266"/>
      <c r="S266"/>
      <c r="T266"/>
      <c r="U266"/>
      <c r="V266"/>
      <c r="W266">
        <v>18</v>
      </c>
    </row>
    <row r="267" spans="1:23">
      <c r="A267"/>
      <c r="B267" t="s">
        <v>60</v>
      </c>
      <c r="C267" t="s">
        <v>60</v>
      </c>
      <c r="D267" t="s">
        <v>33</v>
      </c>
      <c r="E267" t="s">
        <v>34</v>
      </c>
      <c r="F267" t="str">
        <f>"0013912"</f>
        <v>0013912</v>
      </c>
      <c r="G267">
        <v>1</v>
      </c>
      <c r="H267" t="str">
        <f>"0000GVMA"</f>
        <v>0000GVMA</v>
      </c>
      <c r="I267" t="s">
        <v>62</v>
      </c>
      <c r="J267"/>
      <c r="K267">
        <v>5.93</v>
      </c>
      <c r="L267">
        <v>0.0</v>
      </c>
      <c r="M267"/>
      <c r="N267"/>
      <c r="O267">
        <v>1.07</v>
      </c>
      <c r="P267">
        <v>0.0</v>
      </c>
      <c r="Q267">
        <v>7.0</v>
      </c>
      <c r="R267"/>
      <c r="S267"/>
      <c r="T267"/>
      <c r="U267"/>
      <c r="V267"/>
      <c r="W267">
        <v>18</v>
      </c>
    </row>
    <row r="268" spans="1:23">
      <c r="A268"/>
      <c r="B268" t="s">
        <v>60</v>
      </c>
      <c r="C268" t="s">
        <v>60</v>
      </c>
      <c r="D268" t="s">
        <v>33</v>
      </c>
      <c r="E268" t="s">
        <v>34</v>
      </c>
      <c r="F268" t="str">
        <f>"0013913"</f>
        <v>0013913</v>
      </c>
      <c r="G268">
        <v>1</v>
      </c>
      <c r="H268" t="str">
        <f>"00000001"</f>
        <v>00000001</v>
      </c>
      <c r="I268" t="s">
        <v>35</v>
      </c>
      <c r="J268"/>
      <c r="K268">
        <v>25.42</v>
      </c>
      <c r="L268">
        <v>0.0</v>
      </c>
      <c r="M268"/>
      <c r="N268"/>
      <c r="O268">
        <v>4.58</v>
      </c>
      <c r="P268">
        <v>0.0</v>
      </c>
      <c r="Q268">
        <v>30.0</v>
      </c>
      <c r="R268"/>
      <c r="S268"/>
      <c r="T268"/>
      <c r="U268"/>
      <c r="V268"/>
      <c r="W268">
        <v>18</v>
      </c>
    </row>
    <row r="269" spans="1:23">
      <c r="A269"/>
      <c r="B269" t="s">
        <v>60</v>
      </c>
      <c r="C269" t="s">
        <v>60</v>
      </c>
      <c r="D269" t="s">
        <v>33</v>
      </c>
      <c r="E269" t="s">
        <v>34</v>
      </c>
      <c r="F269" t="str">
        <f>"0013914"</f>
        <v>0013914</v>
      </c>
      <c r="G269">
        <v>1</v>
      </c>
      <c r="H269" t="str">
        <f>"00000001"</f>
        <v>00000001</v>
      </c>
      <c r="I269" t="s">
        <v>35</v>
      </c>
      <c r="J269"/>
      <c r="K269">
        <v>10.17</v>
      </c>
      <c r="L269">
        <v>0.0</v>
      </c>
      <c r="M269"/>
      <c r="N269"/>
      <c r="O269">
        <v>1.83</v>
      </c>
      <c r="P269">
        <v>0.0</v>
      </c>
      <c r="Q269">
        <v>12.0</v>
      </c>
      <c r="R269"/>
      <c r="S269"/>
      <c r="T269"/>
      <c r="U269"/>
      <c r="V269"/>
      <c r="W269">
        <v>18</v>
      </c>
    </row>
    <row r="270" spans="1:23">
      <c r="A270"/>
      <c r="B270" t="s">
        <v>60</v>
      </c>
      <c r="C270" t="s">
        <v>60</v>
      </c>
      <c r="D270" t="s">
        <v>33</v>
      </c>
      <c r="E270" t="s">
        <v>34</v>
      </c>
      <c r="F270" t="str">
        <f>"0013915"</f>
        <v>0013915</v>
      </c>
      <c r="G270">
        <v>1</v>
      </c>
      <c r="H270" t="str">
        <f>"00000001"</f>
        <v>00000001</v>
      </c>
      <c r="I270" t="s">
        <v>35</v>
      </c>
      <c r="J270"/>
      <c r="K270">
        <v>12.71</v>
      </c>
      <c r="L270">
        <v>0.0</v>
      </c>
      <c r="M270"/>
      <c r="N270"/>
      <c r="O270">
        <v>2.29</v>
      </c>
      <c r="P270">
        <v>0.0</v>
      </c>
      <c r="Q270">
        <v>15.0</v>
      </c>
      <c r="R270"/>
      <c r="S270"/>
      <c r="T270"/>
      <c r="U270"/>
      <c r="V270"/>
      <c r="W270">
        <v>18</v>
      </c>
    </row>
    <row r="271" spans="1:23">
      <c r="A271"/>
      <c r="B271" t="s">
        <v>60</v>
      </c>
      <c r="C271" t="s">
        <v>60</v>
      </c>
      <c r="D271" t="s">
        <v>33</v>
      </c>
      <c r="E271" t="s">
        <v>34</v>
      </c>
      <c r="F271" t="str">
        <f>"0013916"</f>
        <v>0013916</v>
      </c>
      <c r="G271">
        <v>1</v>
      </c>
      <c r="H271" t="str">
        <f>"00000001"</f>
        <v>00000001</v>
      </c>
      <c r="I271" t="s">
        <v>35</v>
      </c>
      <c r="J271"/>
      <c r="K271">
        <v>16.95</v>
      </c>
      <c r="L271">
        <v>0.0</v>
      </c>
      <c r="M271"/>
      <c r="N271"/>
      <c r="O271">
        <v>3.05</v>
      </c>
      <c r="P271">
        <v>0.0</v>
      </c>
      <c r="Q271">
        <v>20.0</v>
      </c>
      <c r="R271"/>
      <c r="S271"/>
      <c r="T271"/>
      <c r="U271"/>
      <c r="V271"/>
      <c r="W271">
        <v>18</v>
      </c>
    </row>
    <row r="272" spans="1:23">
      <c r="A272"/>
      <c r="B272" t="s">
        <v>60</v>
      </c>
      <c r="C272" t="s">
        <v>60</v>
      </c>
      <c r="D272" t="s">
        <v>33</v>
      </c>
      <c r="E272" t="s">
        <v>34</v>
      </c>
      <c r="F272" t="str">
        <f>"0013917"</f>
        <v>0013917</v>
      </c>
      <c r="G272">
        <v>1</v>
      </c>
      <c r="H272" t="str">
        <f>"00000001"</f>
        <v>00000001</v>
      </c>
      <c r="I272" t="s">
        <v>35</v>
      </c>
      <c r="J272"/>
      <c r="K272">
        <v>4.24</v>
      </c>
      <c r="L272">
        <v>0.0</v>
      </c>
      <c r="M272"/>
      <c r="N272"/>
      <c r="O272">
        <v>0.76</v>
      </c>
      <c r="P272">
        <v>0.0</v>
      </c>
      <c r="Q272">
        <v>5.0</v>
      </c>
      <c r="R272"/>
      <c r="S272"/>
      <c r="T272"/>
      <c r="U272"/>
      <c r="V272"/>
      <c r="W272">
        <v>18</v>
      </c>
    </row>
    <row r="273" spans="1:23">
      <c r="A273"/>
      <c r="B273" t="s">
        <v>60</v>
      </c>
      <c r="C273" t="s">
        <v>60</v>
      </c>
      <c r="D273" t="s">
        <v>33</v>
      </c>
      <c r="E273" t="s">
        <v>34</v>
      </c>
      <c r="F273" t="str">
        <f>"0013918"</f>
        <v>0013918</v>
      </c>
      <c r="G273">
        <v>1</v>
      </c>
      <c r="H273" t="str">
        <f>"00000001"</f>
        <v>00000001</v>
      </c>
      <c r="I273" t="s">
        <v>35</v>
      </c>
      <c r="J273"/>
      <c r="K273">
        <v>8.47</v>
      </c>
      <c r="L273">
        <v>0.0</v>
      </c>
      <c r="M273"/>
      <c r="N273"/>
      <c r="O273">
        <v>1.53</v>
      </c>
      <c r="P273">
        <v>0.0</v>
      </c>
      <c r="Q273">
        <v>10.0</v>
      </c>
      <c r="R273"/>
      <c r="S273"/>
      <c r="T273"/>
      <c r="U273"/>
      <c r="V273"/>
      <c r="W273">
        <v>18</v>
      </c>
    </row>
    <row r="274" spans="1:23">
      <c r="A274"/>
      <c r="B274" t="s">
        <v>60</v>
      </c>
      <c r="C274" t="s">
        <v>60</v>
      </c>
      <c r="D274" t="s">
        <v>33</v>
      </c>
      <c r="E274" t="s">
        <v>34</v>
      </c>
      <c r="F274" t="str">
        <f>"0013919"</f>
        <v>0013919</v>
      </c>
      <c r="G274">
        <v>1</v>
      </c>
      <c r="H274" t="str">
        <f>"00000001"</f>
        <v>00000001</v>
      </c>
      <c r="I274" t="s">
        <v>35</v>
      </c>
      <c r="J274"/>
      <c r="K274">
        <v>8.47</v>
      </c>
      <c r="L274">
        <v>0.0</v>
      </c>
      <c r="M274"/>
      <c r="N274"/>
      <c r="O274">
        <v>1.53</v>
      </c>
      <c r="P274">
        <v>0.0</v>
      </c>
      <c r="Q274">
        <v>10.0</v>
      </c>
      <c r="R274"/>
      <c r="S274"/>
      <c r="T274"/>
      <c r="U274"/>
      <c r="V274"/>
      <c r="W274">
        <v>18</v>
      </c>
    </row>
    <row r="275" spans="1:23">
      <c r="A275"/>
      <c r="B275" t="s">
        <v>60</v>
      </c>
      <c r="C275" t="s">
        <v>60</v>
      </c>
      <c r="D275" t="s">
        <v>33</v>
      </c>
      <c r="E275" t="s">
        <v>34</v>
      </c>
      <c r="F275" t="str">
        <f>"0013920"</f>
        <v>0013920</v>
      </c>
      <c r="G275">
        <v>1</v>
      </c>
      <c r="H275" t="str">
        <f>"00000001"</f>
        <v>00000001</v>
      </c>
      <c r="I275" t="s">
        <v>35</v>
      </c>
      <c r="J275"/>
      <c r="K275">
        <v>7.63</v>
      </c>
      <c r="L275">
        <v>0.0</v>
      </c>
      <c r="M275"/>
      <c r="N275"/>
      <c r="O275">
        <v>1.37</v>
      </c>
      <c r="P275">
        <v>0.0</v>
      </c>
      <c r="Q275">
        <v>9.0</v>
      </c>
      <c r="R275"/>
      <c r="S275"/>
      <c r="T275"/>
      <c r="U275"/>
      <c r="V275"/>
      <c r="W275">
        <v>18</v>
      </c>
    </row>
    <row r="276" spans="1:23">
      <c r="A276"/>
      <c r="B276" t="s">
        <v>60</v>
      </c>
      <c r="C276" t="s">
        <v>60</v>
      </c>
      <c r="D276" t="s">
        <v>33</v>
      </c>
      <c r="E276" t="s">
        <v>34</v>
      </c>
      <c r="F276" t="str">
        <f>"0013921"</f>
        <v>0013921</v>
      </c>
      <c r="G276">
        <v>1</v>
      </c>
      <c r="H276" t="str">
        <f>"00000001"</f>
        <v>00000001</v>
      </c>
      <c r="I276" t="s">
        <v>35</v>
      </c>
      <c r="J276"/>
      <c r="K276">
        <v>11.02</v>
      </c>
      <c r="L276">
        <v>0.0</v>
      </c>
      <c r="M276"/>
      <c r="N276"/>
      <c r="O276">
        <v>1.98</v>
      </c>
      <c r="P276">
        <v>0.0</v>
      </c>
      <c r="Q276">
        <v>13.0</v>
      </c>
      <c r="R276"/>
      <c r="S276"/>
      <c r="T276"/>
      <c r="U276"/>
      <c r="V276"/>
      <c r="W276">
        <v>18</v>
      </c>
    </row>
    <row r="277" spans="1:23">
      <c r="A277"/>
      <c r="B277" t="s">
        <v>60</v>
      </c>
      <c r="C277" t="s">
        <v>60</v>
      </c>
      <c r="D277" t="s">
        <v>33</v>
      </c>
      <c r="E277" t="s">
        <v>34</v>
      </c>
      <c r="F277" t="str">
        <f>"0013922"</f>
        <v>0013922</v>
      </c>
      <c r="G277">
        <v>1</v>
      </c>
      <c r="H277" t="str">
        <f>"00000001"</f>
        <v>00000001</v>
      </c>
      <c r="I277" t="s">
        <v>35</v>
      </c>
      <c r="J277"/>
      <c r="K277">
        <v>8.47</v>
      </c>
      <c r="L277">
        <v>0.0</v>
      </c>
      <c r="M277"/>
      <c r="N277"/>
      <c r="O277">
        <v>1.53</v>
      </c>
      <c r="P277">
        <v>0.0</v>
      </c>
      <c r="Q277">
        <v>10.0</v>
      </c>
      <c r="R277"/>
      <c r="S277"/>
      <c r="T277"/>
      <c r="U277"/>
      <c r="V277"/>
      <c r="W277">
        <v>18</v>
      </c>
    </row>
    <row r="278" spans="1:23">
      <c r="A278"/>
      <c r="B278" t="s">
        <v>60</v>
      </c>
      <c r="C278" t="s">
        <v>60</v>
      </c>
      <c r="D278" t="s">
        <v>33</v>
      </c>
      <c r="E278" t="s">
        <v>34</v>
      </c>
      <c r="F278" t="str">
        <f>"0013923"</f>
        <v>0013923</v>
      </c>
      <c r="G278">
        <v>1</v>
      </c>
      <c r="H278" t="str">
        <f>"00000001"</f>
        <v>00000001</v>
      </c>
      <c r="I278" t="s">
        <v>35</v>
      </c>
      <c r="J278"/>
      <c r="K278">
        <v>3.39</v>
      </c>
      <c r="L278">
        <v>0.0</v>
      </c>
      <c r="M278"/>
      <c r="N278"/>
      <c r="O278">
        <v>0.61</v>
      </c>
      <c r="P278">
        <v>0.0</v>
      </c>
      <c r="Q278">
        <v>4.0</v>
      </c>
      <c r="R278"/>
      <c r="S278"/>
      <c r="T278"/>
      <c r="U278"/>
      <c r="V278"/>
      <c r="W278">
        <v>18</v>
      </c>
    </row>
    <row r="279" spans="1:23">
      <c r="A279"/>
      <c r="B279" t="s">
        <v>60</v>
      </c>
      <c r="C279" t="s">
        <v>60</v>
      </c>
      <c r="D279" t="s">
        <v>33</v>
      </c>
      <c r="E279" t="s">
        <v>34</v>
      </c>
      <c r="F279" t="str">
        <f>"0013924"</f>
        <v>0013924</v>
      </c>
      <c r="G279">
        <v>1</v>
      </c>
      <c r="H279" t="str">
        <f>"00000001"</f>
        <v>00000001</v>
      </c>
      <c r="I279" t="s">
        <v>35</v>
      </c>
      <c r="J279"/>
      <c r="K279">
        <v>5.08</v>
      </c>
      <c r="L279">
        <v>0.0</v>
      </c>
      <c r="M279"/>
      <c r="N279"/>
      <c r="O279">
        <v>0.92</v>
      </c>
      <c r="P279">
        <v>0.0</v>
      </c>
      <c r="Q279">
        <v>6.0</v>
      </c>
      <c r="R279"/>
      <c r="S279"/>
      <c r="T279"/>
      <c r="U279"/>
      <c r="V279"/>
      <c r="W279">
        <v>18</v>
      </c>
    </row>
    <row r="280" spans="1:23">
      <c r="A280"/>
      <c r="B280" t="s">
        <v>60</v>
      </c>
      <c r="C280" t="s">
        <v>60</v>
      </c>
      <c r="D280" t="s">
        <v>33</v>
      </c>
      <c r="E280" t="s">
        <v>34</v>
      </c>
      <c r="F280" t="str">
        <f>"0013925"</f>
        <v>0013925</v>
      </c>
      <c r="G280">
        <v>1</v>
      </c>
      <c r="H280" t="str">
        <f>"00000001"</f>
        <v>00000001</v>
      </c>
      <c r="I280" t="s">
        <v>35</v>
      </c>
      <c r="J280"/>
      <c r="K280">
        <v>11.02</v>
      </c>
      <c r="L280">
        <v>0.0</v>
      </c>
      <c r="M280"/>
      <c r="N280"/>
      <c r="O280">
        <v>1.98</v>
      </c>
      <c r="P280">
        <v>0.0</v>
      </c>
      <c r="Q280">
        <v>13.0</v>
      </c>
      <c r="R280"/>
      <c r="S280"/>
      <c r="T280"/>
      <c r="U280"/>
      <c r="V280"/>
      <c r="W280">
        <v>18</v>
      </c>
    </row>
    <row r="281" spans="1:23">
      <c r="A281"/>
      <c r="B281" t="s">
        <v>60</v>
      </c>
      <c r="C281" t="s">
        <v>60</v>
      </c>
      <c r="D281" t="s">
        <v>33</v>
      </c>
      <c r="E281" t="s">
        <v>34</v>
      </c>
      <c r="F281" t="str">
        <f>"0013926"</f>
        <v>0013926</v>
      </c>
      <c r="G281">
        <v>1</v>
      </c>
      <c r="H281" t="str">
        <f>"00000001"</f>
        <v>00000001</v>
      </c>
      <c r="I281" t="s">
        <v>35</v>
      </c>
      <c r="J281"/>
      <c r="K281">
        <v>5.93</v>
      </c>
      <c r="L281">
        <v>0.0</v>
      </c>
      <c r="M281"/>
      <c r="N281"/>
      <c r="O281">
        <v>1.07</v>
      </c>
      <c r="P281">
        <v>0.0</v>
      </c>
      <c r="Q281">
        <v>7.0</v>
      </c>
      <c r="R281"/>
      <c r="S281"/>
      <c r="T281"/>
      <c r="U281"/>
      <c r="V281"/>
      <c r="W281">
        <v>18</v>
      </c>
    </row>
    <row r="282" spans="1:23">
      <c r="A282"/>
      <c r="B282" t="s">
        <v>60</v>
      </c>
      <c r="C282" t="s">
        <v>60</v>
      </c>
      <c r="D282" t="s">
        <v>33</v>
      </c>
      <c r="E282" t="s">
        <v>34</v>
      </c>
      <c r="F282" t="str">
        <f>"0013927"</f>
        <v>0013927</v>
      </c>
      <c r="G282">
        <v>1</v>
      </c>
      <c r="H282" t="str">
        <f>"00000001"</f>
        <v>00000001</v>
      </c>
      <c r="I282" t="s">
        <v>35</v>
      </c>
      <c r="J282"/>
      <c r="K282">
        <v>8.47</v>
      </c>
      <c r="L282">
        <v>0.0</v>
      </c>
      <c r="M282"/>
      <c r="N282"/>
      <c r="O282">
        <v>1.53</v>
      </c>
      <c r="P282">
        <v>0.0</v>
      </c>
      <c r="Q282">
        <v>10.0</v>
      </c>
      <c r="R282"/>
      <c r="S282"/>
      <c r="T282"/>
      <c r="U282"/>
      <c r="V282"/>
      <c r="W282">
        <v>18</v>
      </c>
    </row>
    <row r="283" spans="1:23">
      <c r="A283"/>
      <c r="B283" t="s">
        <v>60</v>
      </c>
      <c r="C283" t="s">
        <v>60</v>
      </c>
      <c r="D283" t="s">
        <v>33</v>
      </c>
      <c r="E283" t="s">
        <v>34</v>
      </c>
      <c r="F283" t="str">
        <f>"0013928"</f>
        <v>0013928</v>
      </c>
      <c r="G283">
        <v>1</v>
      </c>
      <c r="H283" t="str">
        <f>"00000001"</f>
        <v>00000001</v>
      </c>
      <c r="I283" t="s">
        <v>35</v>
      </c>
      <c r="J283"/>
      <c r="K283">
        <v>3.39</v>
      </c>
      <c r="L283">
        <v>0.0</v>
      </c>
      <c r="M283"/>
      <c r="N283"/>
      <c r="O283">
        <v>0.61</v>
      </c>
      <c r="P283">
        <v>0.0</v>
      </c>
      <c r="Q283">
        <v>4.0</v>
      </c>
      <c r="R283"/>
      <c r="S283"/>
      <c r="T283"/>
      <c r="U283"/>
      <c r="V283"/>
      <c r="W283">
        <v>18</v>
      </c>
    </row>
    <row r="284" spans="1:23">
      <c r="A284"/>
      <c r="B284" t="s">
        <v>60</v>
      </c>
      <c r="C284" t="s">
        <v>60</v>
      </c>
      <c r="D284" t="s">
        <v>33</v>
      </c>
      <c r="E284" t="s">
        <v>34</v>
      </c>
      <c r="F284" t="str">
        <f>"0013929"</f>
        <v>0013929</v>
      </c>
      <c r="G284">
        <v>1</v>
      </c>
      <c r="H284" t="str">
        <f>"00000001"</f>
        <v>00000001</v>
      </c>
      <c r="I284" t="s">
        <v>35</v>
      </c>
      <c r="J284"/>
      <c r="K284">
        <v>27.12</v>
      </c>
      <c r="L284">
        <v>0.0</v>
      </c>
      <c r="M284"/>
      <c r="N284"/>
      <c r="O284">
        <v>4.88</v>
      </c>
      <c r="P284">
        <v>0.0</v>
      </c>
      <c r="Q284">
        <v>32.0</v>
      </c>
      <c r="R284"/>
      <c r="S284"/>
      <c r="T284"/>
      <c r="U284"/>
      <c r="V284"/>
      <c r="W284">
        <v>18</v>
      </c>
    </row>
    <row r="285" spans="1:23">
      <c r="A285"/>
      <c r="B285" t="s">
        <v>60</v>
      </c>
      <c r="C285" t="s">
        <v>60</v>
      </c>
      <c r="D285" t="s">
        <v>33</v>
      </c>
      <c r="E285" t="s">
        <v>34</v>
      </c>
      <c r="F285" t="str">
        <f>"0013930"</f>
        <v>0013930</v>
      </c>
      <c r="G285">
        <v>1</v>
      </c>
      <c r="H285" t="str">
        <f>"00000001"</f>
        <v>00000001</v>
      </c>
      <c r="I285" t="s">
        <v>35</v>
      </c>
      <c r="J285"/>
      <c r="K285">
        <v>5.08</v>
      </c>
      <c r="L285">
        <v>0.0</v>
      </c>
      <c r="M285"/>
      <c r="N285"/>
      <c r="O285">
        <v>0.92</v>
      </c>
      <c r="P285">
        <v>0.0</v>
      </c>
      <c r="Q285">
        <v>6.0</v>
      </c>
      <c r="R285"/>
      <c r="S285"/>
      <c r="T285"/>
      <c r="U285"/>
      <c r="V285"/>
      <c r="W285">
        <v>18</v>
      </c>
    </row>
    <row r="286" spans="1:23">
      <c r="A286"/>
      <c r="B286" t="s">
        <v>60</v>
      </c>
      <c r="C286" t="s">
        <v>60</v>
      </c>
      <c r="D286" t="s">
        <v>33</v>
      </c>
      <c r="E286" t="s">
        <v>34</v>
      </c>
      <c r="F286" t="str">
        <f>"0013931"</f>
        <v>0013931</v>
      </c>
      <c r="G286">
        <v>1</v>
      </c>
      <c r="H286" t="str">
        <f>"00000001"</f>
        <v>00000001</v>
      </c>
      <c r="I286" t="s">
        <v>35</v>
      </c>
      <c r="J286"/>
      <c r="K286">
        <v>5.08</v>
      </c>
      <c r="L286">
        <v>0.0</v>
      </c>
      <c r="M286"/>
      <c r="N286"/>
      <c r="O286">
        <v>0.92</v>
      </c>
      <c r="P286">
        <v>0.0</v>
      </c>
      <c r="Q286">
        <v>6.0</v>
      </c>
      <c r="R286"/>
      <c r="S286"/>
      <c r="T286"/>
      <c r="U286"/>
      <c r="V286"/>
      <c r="W286">
        <v>18</v>
      </c>
    </row>
    <row r="287" spans="1:23">
      <c r="A287"/>
      <c r="B287" t="s">
        <v>60</v>
      </c>
      <c r="C287" t="s">
        <v>60</v>
      </c>
      <c r="D287" t="s">
        <v>33</v>
      </c>
      <c r="E287" t="s">
        <v>34</v>
      </c>
      <c r="F287" t="str">
        <f>"0013932"</f>
        <v>0013932</v>
      </c>
      <c r="G287">
        <v>1</v>
      </c>
      <c r="H287" t="str">
        <f>"00000001"</f>
        <v>00000001</v>
      </c>
      <c r="I287" t="s">
        <v>35</v>
      </c>
      <c r="J287"/>
      <c r="K287">
        <v>15.25</v>
      </c>
      <c r="L287">
        <v>0.0</v>
      </c>
      <c r="M287"/>
      <c r="N287"/>
      <c r="O287">
        <v>2.75</v>
      </c>
      <c r="P287">
        <v>0.0</v>
      </c>
      <c r="Q287">
        <v>18.0</v>
      </c>
      <c r="R287"/>
      <c r="S287"/>
      <c r="T287"/>
      <c r="U287"/>
      <c r="V287"/>
      <c r="W287">
        <v>18</v>
      </c>
    </row>
    <row r="288" spans="1:23">
      <c r="A288"/>
      <c r="B288" t="s">
        <v>60</v>
      </c>
      <c r="C288" t="s">
        <v>60</v>
      </c>
      <c r="D288" t="s">
        <v>33</v>
      </c>
      <c r="E288" t="s">
        <v>34</v>
      </c>
      <c r="F288" t="str">
        <f>"0013933"</f>
        <v>0013933</v>
      </c>
      <c r="G288">
        <v>1</v>
      </c>
      <c r="H288" t="str">
        <f>"00000001"</f>
        <v>00000001</v>
      </c>
      <c r="I288" t="s">
        <v>35</v>
      </c>
      <c r="J288"/>
      <c r="K288">
        <v>20.34</v>
      </c>
      <c r="L288">
        <v>0.0</v>
      </c>
      <c r="M288"/>
      <c r="N288"/>
      <c r="O288">
        <v>3.66</v>
      </c>
      <c r="P288">
        <v>0.0</v>
      </c>
      <c r="Q288">
        <v>24.0</v>
      </c>
      <c r="R288"/>
      <c r="S288"/>
      <c r="T288"/>
      <c r="U288"/>
      <c r="V288"/>
      <c r="W288">
        <v>18</v>
      </c>
    </row>
    <row r="289" spans="1:23">
      <c r="A289"/>
      <c r="B289" t="s">
        <v>60</v>
      </c>
      <c r="C289" t="s">
        <v>60</v>
      </c>
      <c r="D289" t="s">
        <v>33</v>
      </c>
      <c r="E289" t="s">
        <v>34</v>
      </c>
      <c r="F289" t="str">
        <f>"0013934"</f>
        <v>0013934</v>
      </c>
      <c r="G289">
        <v>1</v>
      </c>
      <c r="H289" t="str">
        <f>"00000001"</f>
        <v>00000001</v>
      </c>
      <c r="I289" t="s">
        <v>35</v>
      </c>
      <c r="J289"/>
      <c r="K289">
        <v>140.68</v>
      </c>
      <c r="L289">
        <v>0.0</v>
      </c>
      <c r="M289"/>
      <c r="N289"/>
      <c r="O289">
        <v>25.32</v>
      </c>
      <c r="P289">
        <v>0.0</v>
      </c>
      <c r="Q289">
        <v>166.0</v>
      </c>
      <c r="R289"/>
      <c r="S289"/>
      <c r="T289"/>
      <c r="U289"/>
      <c r="V289"/>
      <c r="W289">
        <v>18</v>
      </c>
    </row>
    <row r="290" spans="1:23">
      <c r="A290"/>
      <c r="B290" t="s">
        <v>60</v>
      </c>
      <c r="C290" t="s">
        <v>60</v>
      </c>
      <c r="D290" t="s">
        <v>33</v>
      </c>
      <c r="E290" t="s">
        <v>34</v>
      </c>
      <c r="F290" t="str">
        <f>"0013935"</f>
        <v>0013935</v>
      </c>
      <c r="G290">
        <v>1</v>
      </c>
      <c r="H290" t="str">
        <f>"00000001"</f>
        <v>00000001</v>
      </c>
      <c r="I290" t="s">
        <v>35</v>
      </c>
      <c r="J290"/>
      <c r="K290">
        <v>27.12</v>
      </c>
      <c r="L290">
        <v>0.0</v>
      </c>
      <c r="M290"/>
      <c r="N290"/>
      <c r="O290">
        <v>4.88</v>
      </c>
      <c r="P290">
        <v>0.0</v>
      </c>
      <c r="Q290">
        <v>32.0</v>
      </c>
      <c r="R290"/>
      <c r="S290"/>
      <c r="T290"/>
      <c r="U290"/>
      <c r="V290"/>
      <c r="W290">
        <v>18</v>
      </c>
    </row>
    <row r="291" spans="1:23">
      <c r="A291"/>
      <c r="B291" t="s">
        <v>60</v>
      </c>
      <c r="C291" t="s">
        <v>60</v>
      </c>
      <c r="D291" t="s">
        <v>33</v>
      </c>
      <c r="E291" t="s">
        <v>34</v>
      </c>
      <c r="F291" t="str">
        <f>"0013936"</f>
        <v>0013936</v>
      </c>
      <c r="G291">
        <v>1</v>
      </c>
      <c r="H291" t="str">
        <f>"00000001"</f>
        <v>00000001</v>
      </c>
      <c r="I291" t="s">
        <v>35</v>
      </c>
      <c r="J291"/>
      <c r="K291">
        <v>48.81</v>
      </c>
      <c r="L291">
        <v>0.0</v>
      </c>
      <c r="M291"/>
      <c r="N291"/>
      <c r="O291">
        <v>8.79</v>
      </c>
      <c r="P291">
        <v>0.0</v>
      </c>
      <c r="Q291">
        <v>57.6</v>
      </c>
      <c r="R291"/>
      <c r="S291"/>
      <c r="T291"/>
      <c r="U291"/>
      <c r="V291"/>
      <c r="W291">
        <v>18</v>
      </c>
    </row>
    <row r="292" spans="1:23">
      <c r="A292"/>
      <c r="B292" t="s">
        <v>60</v>
      </c>
      <c r="C292" t="s">
        <v>60</v>
      </c>
      <c r="D292" t="s">
        <v>33</v>
      </c>
      <c r="E292" t="s">
        <v>34</v>
      </c>
      <c r="F292" t="str">
        <f>"0013937"</f>
        <v>0013937</v>
      </c>
      <c r="G292">
        <v>1</v>
      </c>
      <c r="H292" t="str">
        <f>"00000001"</f>
        <v>00000001</v>
      </c>
      <c r="I292" t="s">
        <v>35</v>
      </c>
      <c r="J292"/>
      <c r="K292">
        <v>7.63</v>
      </c>
      <c r="L292">
        <v>0.0</v>
      </c>
      <c r="M292"/>
      <c r="N292"/>
      <c r="O292">
        <v>1.37</v>
      </c>
      <c r="P292">
        <v>0.0</v>
      </c>
      <c r="Q292">
        <v>9.0</v>
      </c>
      <c r="R292"/>
      <c r="S292"/>
      <c r="T292"/>
      <c r="U292"/>
      <c r="V292"/>
      <c r="W292">
        <v>18</v>
      </c>
    </row>
    <row r="293" spans="1:23">
      <c r="A293"/>
      <c r="B293" t="s">
        <v>60</v>
      </c>
      <c r="C293" t="s">
        <v>60</v>
      </c>
      <c r="D293" t="s">
        <v>33</v>
      </c>
      <c r="E293" t="s">
        <v>34</v>
      </c>
      <c r="F293" t="str">
        <f>"0013938"</f>
        <v>0013938</v>
      </c>
      <c r="G293">
        <v>1</v>
      </c>
      <c r="H293" t="str">
        <f>"00000001"</f>
        <v>00000001</v>
      </c>
      <c r="I293" t="s">
        <v>35</v>
      </c>
      <c r="J293"/>
      <c r="K293">
        <v>13.14</v>
      </c>
      <c r="L293">
        <v>0.0</v>
      </c>
      <c r="M293"/>
      <c r="N293"/>
      <c r="O293">
        <v>2.36</v>
      </c>
      <c r="P293">
        <v>0.0</v>
      </c>
      <c r="Q293">
        <v>15.5</v>
      </c>
      <c r="R293"/>
      <c r="S293"/>
      <c r="T293"/>
      <c r="U293"/>
      <c r="V293"/>
      <c r="W293">
        <v>18</v>
      </c>
    </row>
    <row r="294" spans="1:23">
      <c r="A294"/>
      <c r="B294" t="s">
        <v>60</v>
      </c>
      <c r="C294" t="s">
        <v>60</v>
      </c>
      <c r="D294" t="s">
        <v>33</v>
      </c>
      <c r="E294" t="s">
        <v>34</v>
      </c>
      <c r="F294" t="str">
        <f>"0013939"</f>
        <v>0013939</v>
      </c>
      <c r="G294">
        <v>1</v>
      </c>
      <c r="H294" t="str">
        <f>"00000001"</f>
        <v>00000001</v>
      </c>
      <c r="I294" t="s">
        <v>35</v>
      </c>
      <c r="J294"/>
      <c r="K294">
        <v>1.69</v>
      </c>
      <c r="L294">
        <v>0.0</v>
      </c>
      <c r="M294"/>
      <c r="N294"/>
      <c r="O294">
        <v>0.31</v>
      </c>
      <c r="P294">
        <v>0.0</v>
      </c>
      <c r="Q294">
        <v>2.0</v>
      </c>
      <c r="R294"/>
      <c r="S294"/>
      <c r="T294"/>
      <c r="U294"/>
      <c r="V294"/>
      <c r="W294">
        <v>18</v>
      </c>
    </row>
    <row r="295" spans="1:23">
      <c r="A295"/>
      <c r="B295" t="s">
        <v>60</v>
      </c>
      <c r="C295" t="s">
        <v>60</v>
      </c>
      <c r="D295" t="s">
        <v>33</v>
      </c>
      <c r="E295" t="s">
        <v>34</v>
      </c>
      <c r="F295" t="str">
        <f>"0013940"</f>
        <v>0013940</v>
      </c>
      <c r="G295">
        <v>1</v>
      </c>
      <c r="H295" t="str">
        <f>"00000001"</f>
        <v>00000001</v>
      </c>
      <c r="I295" t="s">
        <v>35</v>
      </c>
      <c r="J295"/>
      <c r="K295">
        <v>12.71</v>
      </c>
      <c r="L295">
        <v>0.0</v>
      </c>
      <c r="M295"/>
      <c r="N295"/>
      <c r="O295">
        <v>2.29</v>
      </c>
      <c r="P295">
        <v>0.0</v>
      </c>
      <c r="Q295">
        <v>15.0</v>
      </c>
      <c r="R295"/>
      <c r="S295"/>
      <c r="T295"/>
      <c r="U295"/>
      <c r="V295"/>
      <c r="W295">
        <v>18</v>
      </c>
    </row>
    <row r="296" spans="1:23">
      <c r="A296"/>
      <c r="B296" t="s">
        <v>60</v>
      </c>
      <c r="C296" t="s">
        <v>60</v>
      </c>
      <c r="D296" t="s">
        <v>33</v>
      </c>
      <c r="E296" t="s">
        <v>34</v>
      </c>
      <c r="F296" t="str">
        <f>"0013941"</f>
        <v>0013941</v>
      </c>
      <c r="G296">
        <v>1</v>
      </c>
      <c r="H296" t="str">
        <f>"00000001"</f>
        <v>00000001</v>
      </c>
      <c r="I296" t="s">
        <v>35</v>
      </c>
      <c r="J296"/>
      <c r="K296">
        <v>17.8</v>
      </c>
      <c r="L296">
        <v>0.0</v>
      </c>
      <c r="M296"/>
      <c r="N296"/>
      <c r="O296">
        <v>3.2</v>
      </c>
      <c r="P296">
        <v>0.0</v>
      </c>
      <c r="Q296">
        <v>21.0</v>
      </c>
      <c r="R296"/>
      <c r="S296"/>
      <c r="T296"/>
      <c r="U296"/>
      <c r="V296"/>
      <c r="W296">
        <v>18</v>
      </c>
    </row>
    <row r="297" spans="1:23">
      <c r="A297"/>
      <c r="B297" t="s">
        <v>60</v>
      </c>
      <c r="C297" t="s">
        <v>60</v>
      </c>
      <c r="D297" t="s">
        <v>33</v>
      </c>
      <c r="E297" t="s">
        <v>34</v>
      </c>
      <c r="F297" t="str">
        <f>"0013942"</f>
        <v>0013942</v>
      </c>
      <c r="G297">
        <v>1</v>
      </c>
      <c r="H297" t="str">
        <f>"00000001"</f>
        <v>00000001</v>
      </c>
      <c r="I297" t="s">
        <v>35</v>
      </c>
      <c r="J297"/>
      <c r="K297">
        <v>12.71</v>
      </c>
      <c r="L297">
        <v>0.0</v>
      </c>
      <c r="M297"/>
      <c r="N297"/>
      <c r="O297">
        <v>2.29</v>
      </c>
      <c r="P297">
        <v>0.0</v>
      </c>
      <c r="Q297">
        <v>15.0</v>
      </c>
      <c r="R297"/>
      <c r="S297"/>
      <c r="T297"/>
      <c r="U297"/>
      <c r="V297"/>
      <c r="W297">
        <v>18</v>
      </c>
    </row>
    <row r="298" spans="1:23">
      <c r="A298"/>
      <c r="B298" t="s">
        <v>60</v>
      </c>
      <c r="C298" t="s">
        <v>60</v>
      </c>
      <c r="D298" t="s">
        <v>33</v>
      </c>
      <c r="E298" t="s">
        <v>34</v>
      </c>
      <c r="F298" t="str">
        <f>"0013943"</f>
        <v>0013943</v>
      </c>
      <c r="G298">
        <v>1</v>
      </c>
      <c r="H298" t="str">
        <f>"00000001"</f>
        <v>00000001</v>
      </c>
      <c r="I298" t="s">
        <v>35</v>
      </c>
      <c r="J298"/>
      <c r="K298">
        <v>12.71</v>
      </c>
      <c r="L298">
        <v>0.0</v>
      </c>
      <c r="M298"/>
      <c r="N298"/>
      <c r="O298">
        <v>2.29</v>
      </c>
      <c r="P298">
        <v>0.0</v>
      </c>
      <c r="Q298">
        <v>15.0</v>
      </c>
      <c r="R298"/>
      <c r="S298"/>
      <c r="T298"/>
      <c r="U298"/>
      <c r="V298"/>
      <c r="W298">
        <v>18</v>
      </c>
    </row>
    <row r="299" spans="1:23">
      <c r="A299"/>
      <c r="B299" t="s">
        <v>60</v>
      </c>
      <c r="C299" t="s">
        <v>60</v>
      </c>
      <c r="D299" t="s">
        <v>33</v>
      </c>
      <c r="E299" t="s">
        <v>34</v>
      </c>
      <c r="F299" t="str">
        <f>"0013944"</f>
        <v>0013944</v>
      </c>
      <c r="G299">
        <v>1</v>
      </c>
      <c r="H299" t="str">
        <f>"00000001"</f>
        <v>00000001</v>
      </c>
      <c r="I299" t="s">
        <v>35</v>
      </c>
      <c r="J299"/>
      <c r="K299">
        <v>7.63</v>
      </c>
      <c r="L299">
        <v>0.0</v>
      </c>
      <c r="M299"/>
      <c r="N299"/>
      <c r="O299">
        <v>1.37</v>
      </c>
      <c r="P299">
        <v>0.0</v>
      </c>
      <c r="Q299">
        <v>9.0</v>
      </c>
      <c r="R299"/>
      <c r="S299"/>
      <c r="T299"/>
      <c r="U299"/>
      <c r="V299"/>
      <c r="W299">
        <v>18</v>
      </c>
    </row>
    <row r="300" spans="1:23">
      <c r="A300"/>
      <c r="B300" t="s">
        <v>60</v>
      </c>
      <c r="C300" t="s">
        <v>60</v>
      </c>
      <c r="D300" t="s">
        <v>33</v>
      </c>
      <c r="E300" t="s">
        <v>34</v>
      </c>
      <c r="F300" t="str">
        <f>"0013945"</f>
        <v>0013945</v>
      </c>
      <c r="G300">
        <v>1</v>
      </c>
      <c r="H300" t="str">
        <f>"00000001"</f>
        <v>00000001</v>
      </c>
      <c r="I300" t="s">
        <v>35</v>
      </c>
      <c r="J300"/>
      <c r="K300">
        <v>5.08</v>
      </c>
      <c r="L300">
        <v>0.0</v>
      </c>
      <c r="M300"/>
      <c r="N300"/>
      <c r="O300">
        <v>0.92</v>
      </c>
      <c r="P300">
        <v>0.0</v>
      </c>
      <c r="Q300">
        <v>6.0</v>
      </c>
      <c r="R300"/>
      <c r="S300"/>
      <c r="T300"/>
      <c r="U300"/>
      <c r="V300"/>
      <c r="W300">
        <v>18</v>
      </c>
    </row>
    <row r="301" spans="1:23">
      <c r="A301"/>
      <c r="B301" t="s">
        <v>60</v>
      </c>
      <c r="C301" t="s">
        <v>60</v>
      </c>
      <c r="D301" t="s">
        <v>33</v>
      </c>
      <c r="E301" t="s">
        <v>34</v>
      </c>
      <c r="F301" t="str">
        <f>"0013946"</f>
        <v>0013946</v>
      </c>
      <c r="G301">
        <v>1</v>
      </c>
      <c r="H301" t="str">
        <f>"00000001"</f>
        <v>00000001</v>
      </c>
      <c r="I301" t="s">
        <v>35</v>
      </c>
      <c r="J301"/>
      <c r="K301">
        <v>25.42</v>
      </c>
      <c r="L301">
        <v>0.0</v>
      </c>
      <c r="M301"/>
      <c r="N301"/>
      <c r="O301">
        <v>4.58</v>
      </c>
      <c r="P301">
        <v>0.0</v>
      </c>
      <c r="Q301">
        <v>30.0</v>
      </c>
      <c r="R301"/>
      <c r="S301"/>
      <c r="T301"/>
      <c r="U301"/>
      <c r="V301"/>
      <c r="W301">
        <v>18</v>
      </c>
    </row>
    <row r="302" spans="1:23">
      <c r="A302"/>
      <c r="B302" t="s">
        <v>60</v>
      </c>
      <c r="C302" t="s">
        <v>60</v>
      </c>
      <c r="D302" t="s">
        <v>33</v>
      </c>
      <c r="E302" t="s">
        <v>34</v>
      </c>
      <c r="F302" t="str">
        <f>"0013947"</f>
        <v>0013947</v>
      </c>
      <c r="G302">
        <v>1</v>
      </c>
      <c r="H302" t="str">
        <f>"00000001"</f>
        <v>00000001</v>
      </c>
      <c r="I302" t="s">
        <v>35</v>
      </c>
      <c r="J302"/>
      <c r="K302">
        <v>10.17</v>
      </c>
      <c r="L302">
        <v>0.0</v>
      </c>
      <c r="M302"/>
      <c r="N302"/>
      <c r="O302">
        <v>1.83</v>
      </c>
      <c r="P302">
        <v>0.0</v>
      </c>
      <c r="Q302">
        <v>12.0</v>
      </c>
      <c r="R302"/>
      <c r="S302"/>
      <c r="T302"/>
      <c r="U302"/>
      <c r="V302"/>
      <c r="W302">
        <v>18</v>
      </c>
    </row>
    <row r="303" spans="1:23">
      <c r="A303"/>
      <c r="B303" t="s">
        <v>60</v>
      </c>
      <c r="C303" t="s">
        <v>60</v>
      </c>
      <c r="D303" t="s">
        <v>33</v>
      </c>
      <c r="E303" t="s">
        <v>34</v>
      </c>
      <c r="F303" t="str">
        <f>"0013948"</f>
        <v>0013948</v>
      </c>
      <c r="G303">
        <v>1</v>
      </c>
      <c r="H303" t="str">
        <f>"00000001"</f>
        <v>00000001</v>
      </c>
      <c r="I303" t="s">
        <v>35</v>
      </c>
      <c r="J303"/>
      <c r="K303">
        <v>10.17</v>
      </c>
      <c r="L303">
        <v>0.0</v>
      </c>
      <c r="M303"/>
      <c r="N303"/>
      <c r="O303">
        <v>1.83</v>
      </c>
      <c r="P303">
        <v>0.0</v>
      </c>
      <c r="Q303">
        <v>12.0</v>
      </c>
      <c r="R303"/>
      <c r="S303"/>
      <c r="T303"/>
      <c r="U303"/>
      <c r="V303"/>
      <c r="W303">
        <v>18</v>
      </c>
    </row>
    <row r="304" spans="1:23">
      <c r="A304"/>
      <c r="B304" t="s">
        <v>60</v>
      </c>
      <c r="C304" t="s">
        <v>60</v>
      </c>
      <c r="D304" t="s">
        <v>33</v>
      </c>
      <c r="E304" t="s">
        <v>34</v>
      </c>
      <c r="F304" t="str">
        <f>"0013949"</f>
        <v>0013949</v>
      </c>
      <c r="G304">
        <v>1</v>
      </c>
      <c r="H304" t="str">
        <f>"00000001"</f>
        <v>00000001</v>
      </c>
      <c r="I304" t="s">
        <v>35</v>
      </c>
      <c r="J304"/>
      <c r="K304">
        <v>48.31</v>
      </c>
      <c r="L304">
        <v>0.0</v>
      </c>
      <c r="M304"/>
      <c r="N304"/>
      <c r="O304">
        <v>8.69</v>
      </c>
      <c r="P304">
        <v>0.0</v>
      </c>
      <c r="Q304">
        <v>57.0</v>
      </c>
      <c r="R304"/>
      <c r="S304"/>
      <c r="T304"/>
      <c r="U304"/>
      <c r="V304"/>
      <c r="W304">
        <v>18</v>
      </c>
    </row>
    <row r="305" spans="1:23">
      <c r="A305"/>
      <c r="B305" t="s">
        <v>60</v>
      </c>
      <c r="C305" t="s">
        <v>60</v>
      </c>
      <c r="D305" t="s">
        <v>33</v>
      </c>
      <c r="E305" t="s">
        <v>34</v>
      </c>
      <c r="F305" t="str">
        <f>"0013950"</f>
        <v>0013950</v>
      </c>
      <c r="G305">
        <v>1</v>
      </c>
      <c r="H305" t="str">
        <f>"00000001"</f>
        <v>00000001</v>
      </c>
      <c r="I305" t="s">
        <v>35</v>
      </c>
      <c r="J305"/>
      <c r="K305">
        <v>10.17</v>
      </c>
      <c r="L305">
        <v>0.0</v>
      </c>
      <c r="M305"/>
      <c r="N305"/>
      <c r="O305">
        <v>1.83</v>
      </c>
      <c r="P305">
        <v>0.0</v>
      </c>
      <c r="Q305">
        <v>12.0</v>
      </c>
      <c r="R305"/>
      <c r="S305"/>
      <c r="T305"/>
      <c r="U305"/>
      <c r="V305"/>
      <c r="W305">
        <v>18</v>
      </c>
    </row>
    <row r="306" spans="1:23">
      <c r="A306"/>
      <c r="B306" t="s">
        <v>60</v>
      </c>
      <c r="C306" t="s">
        <v>60</v>
      </c>
      <c r="D306" t="s">
        <v>33</v>
      </c>
      <c r="E306" t="s">
        <v>34</v>
      </c>
      <c r="F306" t="str">
        <f>"0013951"</f>
        <v>0013951</v>
      </c>
      <c r="G306">
        <v>1</v>
      </c>
      <c r="H306" t="str">
        <f>"00000001"</f>
        <v>00000001</v>
      </c>
      <c r="I306" t="s">
        <v>35</v>
      </c>
      <c r="J306"/>
      <c r="K306">
        <v>4.66</v>
      </c>
      <c r="L306">
        <v>0.0</v>
      </c>
      <c r="M306"/>
      <c r="N306"/>
      <c r="O306">
        <v>0.84</v>
      </c>
      <c r="P306">
        <v>0.0</v>
      </c>
      <c r="Q306">
        <v>5.5</v>
      </c>
      <c r="R306"/>
      <c r="S306"/>
      <c r="T306"/>
      <c r="U306"/>
      <c r="V306"/>
      <c r="W306">
        <v>18</v>
      </c>
    </row>
    <row r="307" spans="1:23">
      <c r="A307"/>
      <c r="B307" t="s">
        <v>60</v>
      </c>
      <c r="C307" t="s">
        <v>60</v>
      </c>
      <c r="D307" t="s">
        <v>33</v>
      </c>
      <c r="E307" t="s">
        <v>34</v>
      </c>
      <c r="F307" t="str">
        <f>"0013952"</f>
        <v>0013952</v>
      </c>
      <c r="G307">
        <v>1</v>
      </c>
      <c r="H307" t="str">
        <f>"00000001"</f>
        <v>00000001</v>
      </c>
      <c r="I307" t="s">
        <v>35</v>
      </c>
      <c r="J307"/>
      <c r="K307">
        <v>4.24</v>
      </c>
      <c r="L307">
        <v>0.0</v>
      </c>
      <c r="M307"/>
      <c r="N307"/>
      <c r="O307">
        <v>0.76</v>
      </c>
      <c r="P307">
        <v>0.0</v>
      </c>
      <c r="Q307">
        <v>5.0</v>
      </c>
      <c r="R307"/>
      <c r="S307"/>
      <c r="T307"/>
      <c r="U307"/>
      <c r="V307"/>
      <c r="W307">
        <v>18</v>
      </c>
    </row>
    <row r="308" spans="1:23">
      <c r="A308"/>
      <c r="B308" t="s">
        <v>60</v>
      </c>
      <c r="C308" t="s">
        <v>60</v>
      </c>
      <c r="D308" t="s">
        <v>33</v>
      </c>
      <c r="E308" t="s">
        <v>34</v>
      </c>
      <c r="F308" t="str">
        <f>"0013953"</f>
        <v>0013953</v>
      </c>
      <c r="G308">
        <v>1</v>
      </c>
      <c r="H308" t="str">
        <f>"00000001"</f>
        <v>00000001</v>
      </c>
      <c r="I308" t="s">
        <v>35</v>
      </c>
      <c r="J308"/>
      <c r="K308">
        <v>9.75</v>
      </c>
      <c r="L308">
        <v>0.0</v>
      </c>
      <c r="M308"/>
      <c r="N308"/>
      <c r="O308">
        <v>1.75</v>
      </c>
      <c r="P308">
        <v>0.0</v>
      </c>
      <c r="Q308">
        <v>11.5</v>
      </c>
      <c r="R308"/>
      <c r="S308"/>
      <c r="T308"/>
      <c r="U308"/>
      <c r="V308"/>
      <c r="W308">
        <v>18</v>
      </c>
    </row>
    <row r="309" spans="1:23">
      <c r="A309"/>
      <c r="B309" t="s">
        <v>60</v>
      </c>
      <c r="C309" t="s">
        <v>60</v>
      </c>
      <c r="D309" t="s">
        <v>33</v>
      </c>
      <c r="E309" t="s">
        <v>34</v>
      </c>
      <c r="F309" t="str">
        <f>"0013954"</f>
        <v>0013954</v>
      </c>
      <c r="G309">
        <v>1</v>
      </c>
      <c r="H309" t="str">
        <f>"72416176"</f>
        <v>72416176</v>
      </c>
      <c r="I309" t="s">
        <v>63</v>
      </c>
      <c r="J309"/>
      <c r="K309">
        <v>59.32</v>
      </c>
      <c r="L309">
        <v>0.0</v>
      </c>
      <c r="M309"/>
      <c r="N309"/>
      <c r="O309">
        <v>10.68</v>
      </c>
      <c r="P309">
        <v>0.0</v>
      </c>
      <c r="Q309">
        <v>70.0</v>
      </c>
      <c r="R309"/>
      <c r="S309"/>
      <c r="T309"/>
      <c r="U309"/>
      <c r="V309"/>
      <c r="W309">
        <v>18</v>
      </c>
    </row>
    <row r="310" spans="1:23">
      <c r="A310"/>
      <c r="B310" t="s">
        <v>60</v>
      </c>
      <c r="C310" t="s">
        <v>60</v>
      </c>
      <c r="D310" t="s">
        <v>33</v>
      </c>
      <c r="E310" t="s">
        <v>34</v>
      </c>
      <c r="F310" t="str">
        <f>"0013955"</f>
        <v>0013955</v>
      </c>
      <c r="G310">
        <v>1</v>
      </c>
      <c r="H310" t="str">
        <f>"CSC00000"</f>
        <v>CSC00000</v>
      </c>
      <c r="I310" t="s">
        <v>64</v>
      </c>
      <c r="J310"/>
      <c r="K310">
        <v>5.08</v>
      </c>
      <c r="L310">
        <v>0.0</v>
      </c>
      <c r="M310"/>
      <c r="N310"/>
      <c r="O310">
        <v>0.92</v>
      </c>
      <c r="P310">
        <v>0.0</v>
      </c>
      <c r="Q310">
        <v>6.0</v>
      </c>
      <c r="R310"/>
      <c r="S310"/>
      <c r="T310"/>
      <c r="U310"/>
      <c r="V310"/>
      <c r="W310">
        <v>18</v>
      </c>
    </row>
    <row r="311" spans="1:23">
      <c r="A311"/>
      <c r="B311" t="s">
        <v>60</v>
      </c>
      <c r="C311" t="s">
        <v>60</v>
      </c>
      <c r="D311" t="s">
        <v>33</v>
      </c>
      <c r="E311" t="s">
        <v>34</v>
      </c>
      <c r="F311" t="str">
        <f>"0013956"</f>
        <v>0013956</v>
      </c>
      <c r="G311">
        <v>1</v>
      </c>
      <c r="H311" t="str">
        <f>"00000001"</f>
        <v>00000001</v>
      </c>
      <c r="I311" t="s">
        <v>35</v>
      </c>
      <c r="J311"/>
      <c r="K311">
        <v>16.95</v>
      </c>
      <c r="L311">
        <v>0.0</v>
      </c>
      <c r="M311"/>
      <c r="N311"/>
      <c r="O311">
        <v>3.05</v>
      </c>
      <c r="P311">
        <v>0.0</v>
      </c>
      <c r="Q311">
        <v>20.0</v>
      </c>
      <c r="R311"/>
      <c r="S311"/>
      <c r="T311"/>
      <c r="U311"/>
      <c r="V311"/>
      <c r="W311">
        <v>18</v>
      </c>
    </row>
    <row r="312" spans="1:23">
      <c r="A312"/>
      <c r="B312" t="s">
        <v>60</v>
      </c>
      <c r="C312" t="s">
        <v>60</v>
      </c>
      <c r="D312" t="s">
        <v>33</v>
      </c>
      <c r="E312" t="s">
        <v>34</v>
      </c>
      <c r="F312" t="str">
        <f>"0013957"</f>
        <v>0013957</v>
      </c>
      <c r="G312">
        <v>1</v>
      </c>
      <c r="H312" t="str">
        <f>"00000001"</f>
        <v>00000001</v>
      </c>
      <c r="I312" t="s">
        <v>35</v>
      </c>
      <c r="J312"/>
      <c r="K312">
        <v>15.25</v>
      </c>
      <c r="L312">
        <v>0.0</v>
      </c>
      <c r="M312"/>
      <c r="N312"/>
      <c r="O312">
        <v>2.75</v>
      </c>
      <c r="P312">
        <v>0.0</v>
      </c>
      <c r="Q312">
        <v>18.0</v>
      </c>
      <c r="R312"/>
      <c r="S312"/>
      <c r="T312"/>
      <c r="U312"/>
      <c r="V312"/>
      <c r="W312">
        <v>18</v>
      </c>
    </row>
    <row r="313" spans="1:23">
      <c r="A313"/>
      <c r="B313" t="s">
        <v>60</v>
      </c>
      <c r="C313" t="s">
        <v>60</v>
      </c>
      <c r="D313" t="s">
        <v>33</v>
      </c>
      <c r="E313" t="s">
        <v>34</v>
      </c>
      <c r="F313" t="str">
        <f>"0013958"</f>
        <v>0013958</v>
      </c>
      <c r="G313">
        <v>1</v>
      </c>
      <c r="H313" t="str">
        <f>"00000001"</f>
        <v>00000001</v>
      </c>
      <c r="I313" t="s">
        <v>35</v>
      </c>
      <c r="J313"/>
      <c r="K313">
        <v>7.63</v>
      </c>
      <c r="L313">
        <v>0.0</v>
      </c>
      <c r="M313"/>
      <c r="N313"/>
      <c r="O313">
        <v>1.37</v>
      </c>
      <c r="P313">
        <v>0.0</v>
      </c>
      <c r="Q313">
        <v>9.0</v>
      </c>
      <c r="R313"/>
      <c r="S313"/>
      <c r="T313"/>
      <c r="U313"/>
      <c r="V313"/>
      <c r="W313">
        <v>18</v>
      </c>
    </row>
    <row r="314" spans="1:23">
      <c r="A314"/>
      <c r="B314" t="s">
        <v>60</v>
      </c>
      <c r="C314" t="s">
        <v>60</v>
      </c>
      <c r="D314" t="s">
        <v>33</v>
      </c>
      <c r="E314" t="s">
        <v>34</v>
      </c>
      <c r="F314" t="str">
        <f>"0013959"</f>
        <v>0013959</v>
      </c>
      <c r="G314">
        <v>1</v>
      </c>
      <c r="H314" t="str">
        <f>"00000001"</f>
        <v>00000001</v>
      </c>
      <c r="I314" t="s">
        <v>35</v>
      </c>
      <c r="J314"/>
      <c r="K314">
        <v>1.27</v>
      </c>
      <c r="L314">
        <v>0.0</v>
      </c>
      <c r="M314"/>
      <c r="N314"/>
      <c r="O314">
        <v>0.23</v>
      </c>
      <c r="P314">
        <v>0.0</v>
      </c>
      <c r="Q314">
        <v>1.5</v>
      </c>
      <c r="R314"/>
      <c r="S314"/>
      <c r="T314"/>
      <c r="U314"/>
      <c r="V314"/>
      <c r="W314">
        <v>18</v>
      </c>
    </row>
    <row r="315" spans="1:23">
      <c r="A315"/>
      <c r="B315" t="s">
        <v>60</v>
      </c>
      <c r="C315" t="s">
        <v>60</v>
      </c>
      <c r="D315" t="s">
        <v>33</v>
      </c>
      <c r="E315" t="s">
        <v>34</v>
      </c>
      <c r="F315" t="str">
        <f>"0013960"</f>
        <v>0013960</v>
      </c>
      <c r="G315">
        <v>1</v>
      </c>
      <c r="H315" t="str">
        <f>"00000001"</f>
        <v>00000001</v>
      </c>
      <c r="I315" t="s">
        <v>35</v>
      </c>
      <c r="J315"/>
      <c r="K315">
        <v>7.63</v>
      </c>
      <c r="L315">
        <v>0.0</v>
      </c>
      <c r="M315"/>
      <c r="N315"/>
      <c r="O315">
        <v>1.37</v>
      </c>
      <c r="P315">
        <v>0.0</v>
      </c>
      <c r="Q315">
        <v>9.0</v>
      </c>
      <c r="R315"/>
      <c r="S315"/>
      <c r="T315"/>
      <c r="U315"/>
      <c r="V315"/>
      <c r="W315">
        <v>18</v>
      </c>
    </row>
    <row r="316" spans="1:23">
      <c r="A316"/>
      <c r="B316" t="s">
        <v>60</v>
      </c>
      <c r="C316" t="s">
        <v>60</v>
      </c>
      <c r="D316" t="s">
        <v>33</v>
      </c>
      <c r="E316" t="s">
        <v>34</v>
      </c>
      <c r="F316" t="str">
        <f>"0013961"</f>
        <v>0013961</v>
      </c>
      <c r="G316">
        <v>1</v>
      </c>
      <c r="H316" t="str">
        <f>"00000001"</f>
        <v>00000001</v>
      </c>
      <c r="I316" t="s">
        <v>35</v>
      </c>
      <c r="J316"/>
      <c r="K316">
        <v>6.36</v>
      </c>
      <c r="L316">
        <v>0.0</v>
      </c>
      <c r="M316"/>
      <c r="N316"/>
      <c r="O316">
        <v>1.14</v>
      </c>
      <c r="P316">
        <v>0.0</v>
      </c>
      <c r="Q316">
        <v>7.5</v>
      </c>
      <c r="R316"/>
      <c r="S316"/>
      <c r="T316"/>
      <c r="U316"/>
      <c r="V316"/>
      <c r="W316">
        <v>18</v>
      </c>
    </row>
    <row r="317" spans="1:23">
      <c r="A317"/>
      <c r="B317" t="s">
        <v>60</v>
      </c>
      <c r="C317" t="s">
        <v>60</v>
      </c>
      <c r="D317" t="s">
        <v>33</v>
      </c>
      <c r="E317" t="s">
        <v>34</v>
      </c>
      <c r="F317" t="str">
        <f>"0013962"</f>
        <v>0013962</v>
      </c>
      <c r="G317">
        <v>1</v>
      </c>
      <c r="H317" t="str">
        <f>"00000001"</f>
        <v>00000001</v>
      </c>
      <c r="I317" t="s">
        <v>35</v>
      </c>
      <c r="J317"/>
      <c r="K317">
        <v>18.64</v>
      </c>
      <c r="L317">
        <v>0.0</v>
      </c>
      <c r="M317"/>
      <c r="N317"/>
      <c r="O317">
        <v>3.36</v>
      </c>
      <c r="P317">
        <v>0.0</v>
      </c>
      <c r="Q317">
        <v>22.0</v>
      </c>
      <c r="R317"/>
      <c r="S317"/>
      <c r="T317"/>
      <c r="U317"/>
      <c r="V317"/>
      <c r="W317">
        <v>18</v>
      </c>
    </row>
    <row r="318" spans="1:23">
      <c r="A318"/>
      <c r="B318" t="s">
        <v>65</v>
      </c>
      <c r="C318" t="s">
        <v>65</v>
      </c>
      <c r="D318" t="s">
        <v>33</v>
      </c>
      <c r="E318" t="s">
        <v>34</v>
      </c>
      <c r="F318" t="str">
        <f>"0013963"</f>
        <v>0013963</v>
      </c>
      <c r="G318">
        <v>1</v>
      </c>
      <c r="H318" t="str">
        <f>"00000001"</f>
        <v>00000001</v>
      </c>
      <c r="I318" t="s">
        <v>35</v>
      </c>
      <c r="J318"/>
      <c r="K318">
        <v>10.17</v>
      </c>
      <c r="L318">
        <v>0.0</v>
      </c>
      <c r="M318"/>
      <c r="N318"/>
      <c r="O318">
        <v>1.83</v>
      </c>
      <c r="P318">
        <v>0.0</v>
      </c>
      <c r="Q318">
        <v>12.0</v>
      </c>
      <c r="R318"/>
      <c r="S318"/>
      <c r="T318"/>
      <c r="U318"/>
      <c r="V318"/>
      <c r="W318">
        <v>18</v>
      </c>
    </row>
    <row r="319" spans="1:23">
      <c r="A319"/>
      <c r="B319" t="s">
        <v>65</v>
      </c>
      <c r="C319" t="s">
        <v>65</v>
      </c>
      <c r="D319" t="s">
        <v>33</v>
      </c>
      <c r="E319" t="s">
        <v>34</v>
      </c>
      <c r="F319" t="str">
        <f>"0013964"</f>
        <v>0013964</v>
      </c>
      <c r="G319">
        <v>1</v>
      </c>
      <c r="H319" t="str">
        <f>"00000001"</f>
        <v>00000001</v>
      </c>
      <c r="I319" t="s">
        <v>35</v>
      </c>
      <c r="J319"/>
      <c r="K319">
        <v>7.2</v>
      </c>
      <c r="L319">
        <v>0.0</v>
      </c>
      <c r="M319"/>
      <c r="N319"/>
      <c r="O319">
        <v>1.3</v>
      </c>
      <c r="P319">
        <v>0.0</v>
      </c>
      <c r="Q319">
        <v>8.5</v>
      </c>
      <c r="R319"/>
      <c r="S319"/>
      <c r="T319"/>
      <c r="U319"/>
      <c r="V319"/>
      <c r="W319">
        <v>18</v>
      </c>
    </row>
    <row r="320" spans="1:23">
      <c r="A320"/>
      <c r="B320" t="s">
        <v>65</v>
      </c>
      <c r="C320" t="s">
        <v>65</v>
      </c>
      <c r="D320" t="s">
        <v>33</v>
      </c>
      <c r="E320" t="s">
        <v>34</v>
      </c>
      <c r="F320" t="str">
        <f>"0013965"</f>
        <v>0013965</v>
      </c>
      <c r="G320">
        <v>1</v>
      </c>
      <c r="H320" t="str">
        <f>"00000001"</f>
        <v>00000001</v>
      </c>
      <c r="I320" t="s">
        <v>35</v>
      </c>
      <c r="J320"/>
      <c r="K320">
        <v>4.66</v>
      </c>
      <c r="L320">
        <v>0.0</v>
      </c>
      <c r="M320"/>
      <c r="N320"/>
      <c r="O320">
        <v>0.84</v>
      </c>
      <c r="P320">
        <v>0.0</v>
      </c>
      <c r="Q320">
        <v>5.5</v>
      </c>
      <c r="R320"/>
      <c r="S320"/>
      <c r="T320"/>
      <c r="U320"/>
      <c r="V320"/>
      <c r="W320">
        <v>18</v>
      </c>
    </row>
    <row r="321" spans="1:23">
      <c r="A321"/>
      <c r="B321" t="s">
        <v>65</v>
      </c>
      <c r="C321" t="s">
        <v>65</v>
      </c>
      <c r="D321" t="s">
        <v>33</v>
      </c>
      <c r="E321" t="s">
        <v>34</v>
      </c>
      <c r="F321" t="str">
        <f>"0013966"</f>
        <v>0013966</v>
      </c>
      <c r="G321">
        <v>1</v>
      </c>
      <c r="H321" t="str">
        <f>"00000001"</f>
        <v>00000001</v>
      </c>
      <c r="I321" t="s">
        <v>35</v>
      </c>
      <c r="J321"/>
      <c r="K321">
        <v>3.39</v>
      </c>
      <c r="L321">
        <v>0.0</v>
      </c>
      <c r="M321"/>
      <c r="N321"/>
      <c r="O321">
        <v>0.61</v>
      </c>
      <c r="P321">
        <v>0.0</v>
      </c>
      <c r="Q321">
        <v>4.0</v>
      </c>
      <c r="R321"/>
      <c r="S321"/>
      <c r="T321"/>
      <c r="U321"/>
      <c r="V321"/>
      <c r="W321">
        <v>18</v>
      </c>
    </row>
    <row r="322" spans="1:23">
      <c r="A322"/>
      <c r="B322" t="s">
        <v>65</v>
      </c>
      <c r="C322" t="s">
        <v>65</v>
      </c>
      <c r="D322" t="s">
        <v>33</v>
      </c>
      <c r="E322" t="s">
        <v>34</v>
      </c>
      <c r="F322" t="str">
        <f>"0013967"</f>
        <v>0013967</v>
      </c>
      <c r="G322">
        <v>1</v>
      </c>
      <c r="H322" t="str">
        <f>"73828054"</f>
        <v>73828054</v>
      </c>
      <c r="I322" t="s">
        <v>66</v>
      </c>
      <c r="J322"/>
      <c r="K322">
        <v>46.1</v>
      </c>
      <c r="L322">
        <v>0.0</v>
      </c>
      <c r="M322"/>
      <c r="N322"/>
      <c r="O322">
        <v>8.3</v>
      </c>
      <c r="P322">
        <v>0.0</v>
      </c>
      <c r="Q322">
        <v>54.4</v>
      </c>
      <c r="R322"/>
      <c r="S322"/>
      <c r="T322"/>
      <c r="U322"/>
      <c r="V322"/>
      <c r="W322">
        <v>18</v>
      </c>
    </row>
    <row r="323" spans="1:23">
      <c r="A323"/>
      <c r="B323" t="s">
        <v>65</v>
      </c>
      <c r="C323" t="s">
        <v>65</v>
      </c>
      <c r="D323" t="s">
        <v>33</v>
      </c>
      <c r="E323" t="s">
        <v>34</v>
      </c>
      <c r="F323" t="str">
        <f>"0013968"</f>
        <v>0013968</v>
      </c>
      <c r="G323">
        <v>1</v>
      </c>
      <c r="H323" t="str">
        <f>"00000001"</f>
        <v>00000001</v>
      </c>
      <c r="I323" t="s">
        <v>35</v>
      </c>
      <c r="J323"/>
      <c r="K323">
        <v>38.14</v>
      </c>
      <c r="L323">
        <v>0.0</v>
      </c>
      <c r="M323"/>
      <c r="N323"/>
      <c r="O323">
        <v>6.86</v>
      </c>
      <c r="P323">
        <v>0.0</v>
      </c>
      <c r="Q323">
        <v>45.0</v>
      </c>
      <c r="R323"/>
      <c r="S323"/>
      <c r="T323"/>
      <c r="U323"/>
      <c r="V323"/>
      <c r="W323">
        <v>18</v>
      </c>
    </row>
    <row r="324" spans="1:23">
      <c r="A324"/>
      <c r="B324" t="s">
        <v>65</v>
      </c>
      <c r="C324" t="s">
        <v>65</v>
      </c>
      <c r="D324" t="s">
        <v>33</v>
      </c>
      <c r="E324" t="s">
        <v>34</v>
      </c>
      <c r="F324" t="str">
        <f>"0013969"</f>
        <v>0013969</v>
      </c>
      <c r="G324">
        <v>1</v>
      </c>
      <c r="H324" t="str">
        <f>"73138425"</f>
        <v>73138425</v>
      </c>
      <c r="I324" t="s">
        <v>67</v>
      </c>
      <c r="J324"/>
      <c r="K324">
        <v>4.24</v>
      </c>
      <c r="L324">
        <v>0.0</v>
      </c>
      <c r="M324"/>
      <c r="N324"/>
      <c r="O324">
        <v>0.76</v>
      </c>
      <c r="P324">
        <v>0.0</v>
      </c>
      <c r="Q324">
        <v>5.0</v>
      </c>
      <c r="R324"/>
      <c r="S324"/>
      <c r="T324"/>
      <c r="U324"/>
      <c r="V324"/>
      <c r="W324">
        <v>18</v>
      </c>
    </row>
    <row r="325" spans="1:23">
      <c r="A325"/>
      <c r="B325" t="s">
        <v>65</v>
      </c>
      <c r="C325" t="s">
        <v>65</v>
      </c>
      <c r="D325" t="s">
        <v>33</v>
      </c>
      <c r="E325" t="s">
        <v>34</v>
      </c>
      <c r="F325" t="str">
        <f>"0013970"</f>
        <v>0013970</v>
      </c>
      <c r="G325">
        <v>1</v>
      </c>
      <c r="H325" t="str">
        <f>"00000001"</f>
        <v>00000001</v>
      </c>
      <c r="I325" t="s">
        <v>35</v>
      </c>
      <c r="J325"/>
      <c r="K325">
        <v>113.39</v>
      </c>
      <c r="L325">
        <v>0.0</v>
      </c>
      <c r="M325"/>
      <c r="N325"/>
      <c r="O325">
        <v>20.41</v>
      </c>
      <c r="P325">
        <v>0.0</v>
      </c>
      <c r="Q325">
        <v>133.8</v>
      </c>
      <c r="R325"/>
      <c r="S325"/>
      <c r="T325"/>
      <c r="U325"/>
      <c r="V325"/>
      <c r="W325">
        <v>18</v>
      </c>
    </row>
    <row r="326" spans="1:23">
      <c r="A326"/>
      <c r="B326" t="s">
        <v>65</v>
      </c>
      <c r="C326" t="s">
        <v>65</v>
      </c>
      <c r="D326" t="s">
        <v>33</v>
      </c>
      <c r="E326" t="s">
        <v>34</v>
      </c>
      <c r="F326" t="str">
        <f>"0013971"</f>
        <v>0013971</v>
      </c>
      <c r="G326">
        <v>1</v>
      </c>
      <c r="H326" t="str">
        <f>"61328842"</f>
        <v>61328842</v>
      </c>
      <c r="I326" t="s">
        <v>68</v>
      </c>
      <c r="J326"/>
      <c r="K326">
        <v>5.08</v>
      </c>
      <c r="L326">
        <v>0.0</v>
      </c>
      <c r="M326"/>
      <c r="N326"/>
      <c r="O326">
        <v>0.92</v>
      </c>
      <c r="P326">
        <v>0.0</v>
      </c>
      <c r="Q326">
        <v>6.0</v>
      </c>
      <c r="R326"/>
      <c r="S326"/>
      <c r="T326"/>
      <c r="U326"/>
      <c r="V326"/>
      <c r="W326">
        <v>18</v>
      </c>
    </row>
    <row r="327" spans="1:23">
      <c r="A327"/>
      <c r="B327" t="s">
        <v>65</v>
      </c>
      <c r="C327" t="s">
        <v>65</v>
      </c>
      <c r="D327" t="s">
        <v>33</v>
      </c>
      <c r="E327" t="s">
        <v>34</v>
      </c>
      <c r="F327" t="str">
        <f>"0013972"</f>
        <v>0013972</v>
      </c>
      <c r="G327">
        <v>1</v>
      </c>
      <c r="H327" t="str">
        <f>"00000001"</f>
        <v>00000001</v>
      </c>
      <c r="I327" t="s">
        <v>35</v>
      </c>
      <c r="J327"/>
      <c r="K327">
        <v>6.78</v>
      </c>
      <c r="L327">
        <v>0.0</v>
      </c>
      <c r="M327"/>
      <c r="N327"/>
      <c r="O327">
        <v>1.22</v>
      </c>
      <c r="P327">
        <v>0.0</v>
      </c>
      <c r="Q327">
        <v>8.0</v>
      </c>
      <c r="R327"/>
      <c r="S327"/>
      <c r="T327"/>
      <c r="U327"/>
      <c r="V327"/>
      <c r="W327">
        <v>18</v>
      </c>
    </row>
    <row r="328" spans="1:23">
      <c r="A328"/>
      <c r="B328" t="s">
        <v>65</v>
      </c>
      <c r="C328" t="s">
        <v>65</v>
      </c>
      <c r="D328" t="s">
        <v>33</v>
      </c>
      <c r="E328" t="s">
        <v>34</v>
      </c>
      <c r="F328" t="str">
        <f>"0013973"</f>
        <v>0013973</v>
      </c>
      <c r="G328">
        <v>1</v>
      </c>
      <c r="H328" t="str">
        <f>"00000001"</f>
        <v>00000001</v>
      </c>
      <c r="I328" t="s">
        <v>35</v>
      </c>
      <c r="J328"/>
      <c r="K328">
        <v>47.46</v>
      </c>
      <c r="L328">
        <v>0.0</v>
      </c>
      <c r="M328"/>
      <c r="N328"/>
      <c r="O328">
        <v>8.54</v>
      </c>
      <c r="P328">
        <v>0.0</v>
      </c>
      <c r="Q328">
        <v>56.0</v>
      </c>
      <c r="R328"/>
      <c r="S328"/>
      <c r="T328"/>
      <c r="U328"/>
      <c r="V328"/>
      <c r="W328">
        <v>18</v>
      </c>
    </row>
    <row r="329" spans="1:23">
      <c r="A329"/>
      <c r="B329" t="s">
        <v>65</v>
      </c>
      <c r="C329" t="s">
        <v>65</v>
      </c>
      <c r="D329" t="s">
        <v>33</v>
      </c>
      <c r="E329" t="s">
        <v>34</v>
      </c>
      <c r="F329" t="str">
        <f>"0013974"</f>
        <v>0013974</v>
      </c>
      <c r="G329">
        <v>1</v>
      </c>
      <c r="H329" t="str">
        <f>"00000001"</f>
        <v>00000001</v>
      </c>
      <c r="I329" t="s">
        <v>35</v>
      </c>
      <c r="J329"/>
      <c r="K329">
        <v>122.88</v>
      </c>
      <c r="L329">
        <v>0.0</v>
      </c>
      <c r="M329"/>
      <c r="N329"/>
      <c r="O329">
        <v>22.12</v>
      </c>
      <c r="P329">
        <v>0.0</v>
      </c>
      <c r="Q329">
        <v>145.0</v>
      </c>
      <c r="R329"/>
      <c r="S329"/>
      <c r="T329"/>
      <c r="U329"/>
      <c r="V329"/>
      <c r="W329">
        <v>18</v>
      </c>
    </row>
    <row r="330" spans="1:23">
      <c r="A330"/>
      <c r="B330" t="s">
        <v>65</v>
      </c>
      <c r="C330" t="s">
        <v>65</v>
      </c>
      <c r="D330" t="s">
        <v>33</v>
      </c>
      <c r="E330" t="s">
        <v>34</v>
      </c>
      <c r="F330" t="str">
        <f>"0013975"</f>
        <v>0013975</v>
      </c>
      <c r="G330">
        <v>1</v>
      </c>
      <c r="H330" t="str">
        <f>"00000001"</f>
        <v>00000001</v>
      </c>
      <c r="I330" t="s">
        <v>35</v>
      </c>
      <c r="J330"/>
      <c r="K330">
        <v>38.14</v>
      </c>
      <c r="L330">
        <v>0.0</v>
      </c>
      <c r="M330"/>
      <c r="N330"/>
      <c r="O330">
        <v>6.86</v>
      </c>
      <c r="P330">
        <v>0.0</v>
      </c>
      <c r="Q330">
        <v>45.0</v>
      </c>
      <c r="R330"/>
      <c r="S330"/>
      <c r="T330"/>
      <c r="U330"/>
      <c r="V330"/>
      <c r="W330">
        <v>18</v>
      </c>
    </row>
    <row r="331" spans="1:23">
      <c r="A331"/>
      <c r="B331" t="s">
        <v>65</v>
      </c>
      <c r="C331" t="s">
        <v>65</v>
      </c>
      <c r="D331" t="s">
        <v>33</v>
      </c>
      <c r="E331" t="s">
        <v>34</v>
      </c>
      <c r="F331" t="str">
        <f>"0013976"</f>
        <v>0013976</v>
      </c>
      <c r="G331">
        <v>1</v>
      </c>
      <c r="H331" t="str">
        <f>"00000001"</f>
        <v>00000001</v>
      </c>
      <c r="I331" t="s">
        <v>35</v>
      </c>
      <c r="J331"/>
      <c r="K331">
        <v>5.08</v>
      </c>
      <c r="L331">
        <v>0.0</v>
      </c>
      <c r="M331"/>
      <c r="N331"/>
      <c r="O331">
        <v>0.92</v>
      </c>
      <c r="P331">
        <v>0.0</v>
      </c>
      <c r="Q331">
        <v>6.0</v>
      </c>
      <c r="R331"/>
      <c r="S331"/>
      <c r="T331"/>
      <c r="U331"/>
      <c r="V331"/>
      <c r="W331">
        <v>18</v>
      </c>
    </row>
    <row r="332" spans="1:23">
      <c r="A332"/>
      <c r="B332" t="s">
        <v>65</v>
      </c>
      <c r="C332" t="s">
        <v>65</v>
      </c>
      <c r="D332" t="s">
        <v>33</v>
      </c>
      <c r="E332" t="s">
        <v>34</v>
      </c>
      <c r="F332" t="str">
        <f>"0013977"</f>
        <v>0013977</v>
      </c>
      <c r="G332">
        <v>1</v>
      </c>
      <c r="H332" t="str">
        <f>"0IE82661"</f>
        <v>0IE82661</v>
      </c>
      <c r="I332" t="s">
        <v>69</v>
      </c>
      <c r="J332"/>
      <c r="K332">
        <v>11.02</v>
      </c>
      <c r="L332">
        <v>0.0</v>
      </c>
      <c r="M332"/>
      <c r="N332"/>
      <c r="O332">
        <v>1.98</v>
      </c>
      <c r="P332">
        <v>0.0</v>
      </c>
      <c r="Q332">
        <v>13.0</v>
      </c>
      <c r="R332"/>
      <c r="S332"/>
      <c r="T332"/>
      <c r="U332"/>
      <c r="V332"/>
      <c r="W332">
        <v>18</v>
      </c>
    </row>
    <row r="333" spans="1:23">
      <c r="A333"/>
      <c r="B333" t="s">
        <v>65</v>
      </c>
      <c r="C333" t="s">
        <v>65</v>
      </c>
      <c r="D333" t="s">
        <v>33</v>
      </c>
      <c r="E333" t="s">
        <v>34</v>
      </c>
      <c r="F333" t="str">
        <f>"0013978"</f>
        <v>0013978</v>
      </c>
      <c r="G333">
        <v>1</v>
      </c>
      <c r="H333" t="str">
        <f>"00000001"</f>
        <v>00000001</v>
      </c>
      <c r="I333" t="s">
        <v>35</v>
      </c>
      <c r="J333"/>
      <c r="K333">
        <v>3.39</v>
      </c>
      <c r="L333">
        <v>0.0</v>
      </c>
      <c r="M333"/>
      <c r="N333"/>
      <c r="O333">
        <v>0.61</v>
      </c>
      <c r="P333">
        <v>0.0</v>
      </c>
      <c r="Q333">
        <v>4.0</v>
      </c>
      <c r="R333"/>
      <c r="S333"/>
      <c r="T333"/>
      <c r="U333"/>
      <c r="V333"/>
      <c r="W333">
        <v>18</v>
      </c>
    </row>
    <row r="334" spans="1:23">
      <c r="A334"/>
      <c r="B334" t="s">
        <v>65</v>
      </c>
      <c r="C334" t="s">
        <v>65</v>
      </c>
      <c r="D334" t="s">
        <v>33</v>
      </c>
      <c r="E334" t="s">
        <v>34</v>
      </c>
      <c r="F334" t="str">
        <f>"0013979"</f>
        <v>0013979</v>
      </c>
      <c r="G334">
        <v>1</v>
      </c>
      <c r="H334" t="str">
        <f>"00000001"</f>
        <v>00000001</v>
      </c>
      <c r="I334" t="s">
        <v>35</v>
      </c>
      <c r="J334"/>
      <c r="K334">
        <v>7.2</v>
      </c>
      <c r="L334">
        <v>0.0</v>
      </c>
      <c r="M334"/>
      <c r="N334"/>
      <c r="O334">
        <v>1.3</v>
      </c>
      <c r="P334">
        <v>0.0</v>
      </c>
      <c r="Q334">
        <v>8.5</v>
      </c>
      <c r="R334"/>
      <c r="S334"/>
      <c r="T334"/>
      <c r="U334"/>
      <c r="V334"/>
      <c r="W334">
        <v>18</v>
      </c>
    </row>
    <row r="335" spans="1:23">
      <c r="A335"/>
      <c r="B335" t="s">
        <v>65</v>
      </c>
      <c r="C335" t="s">
        <v>65</v>
      </c>
      <c r="D335" t="s">
        <v>33</v>
      </c>
      <c r="E335" t="s">
        <v>34</v>
      </c>
      <c r="F335" t="str">
        <f>"0013980"</f>
        <v>0013980</v>
      </c>
      <c r="G335">
        <v>1</v>
      </c>
      <c r="H335" t="str">
        <f>"00000001"</f>
        <v>00000001</v>
      </c>
      <c r="I335" t="s">
        <v>35</v>
      </c>
      <c r="J335"/>
      <c r="K335">
        <v>37.29</v>
      </c>
      <c r="L335">
        <v>0.0</v>
      </c>
      <c r="M335"/>
      <c r="N335"/>
      <c r="O335">
        <v>6.71</v>
      </c>
      <c r="P335">
        <v>0.0</v>
      </c>
      <c r="Q335">
        <v>44.0</v>
      </c>
      <c r="R335"/>
      <c r="S335"/>
      <c r="T335"/>
      <c r="U335"/>
      <c r="V335"/>
      <c r="W335">
        <v>18</v>
      </c>
    </row>
    <row r="336" spans="1:23">
      <c r="A336"/>
      <c r="B336" t="s">
        <v>65</v>
      </c>
      <c r="C336" t="s">
        <v>65</v>
      </c>
      <c r="D336" t="s">
        <v>33</v>
      </c>
      <c r="E336" t="s">
        <v>34</v>
      </c>
      <c r="F336" t="str">
        <f>"0013981"</f>
        <v>0013981</v>
      </c>
      <c r="G336">
        <v>1</v>
      </c>
      <c r="H336" t="str">
        <f>"00000001"</f>
        <v>00000001</v>
      </c>
      <c r="I336" t="s">
        <v>35</v>
      </c>
      <c r="J336"/>
      <c r="K336">
        <v>25.42</v>
      </c>
      <c r="L336">
        <v>0.0</v>
      </c>
      <c r="M336"/>
      <c r="N336"/>
      <c r="O336">
        <v>4.58</v>
      </c>
      <c r="P336">
        <v>0.0</v>
      </c>
      <c r="Q336">
        <v>30.0</v>
      </c>
      <c r="R336"/>
      <c r="S336"/>
      <c r="T336"/>
      <c r="U336"/>
      <c r="V336"/>
      <c r="W336">
        <v>18</v>
      </c>
    </row>
    <row r="337" spans="1:23">
      <c r="A337"/>
      <c r="B337" t="s">
        <v>65</v>
      </c>
      <c r="C337" t="s">
        <v>65</v>
      </c>
      <c r="D337" t="s">
        <v>33</v>
      </c>
      <c r="E337" t="s">
        <v>34</v>
      </c>
      <c r="F337" t="str">
        <f>"0013982"</f>
        <v>0013982</v>
      </c>
      <c r="G337">
        <v>1</v>
      </c>
      <c r="H337" t="str">
        <f>"00000001"</f>
        <v>00000001</v>
      </c>
      <c r="I337" t="s">
        <v>35</v>
      </c>
      <c r="J337"/>
      <c r="K337">
        <v>46.61</v>
      </c>
      <c r="L337">
        <v>0.0</v>
      </c>
      <c r="M337"/>
      <c r="N337"/>
      <c r="O337">
        <v>8.39</v>
      </c>
      <c r="P337">
        <v>0.0</v>
      </c>
      <c r="Q337">
        <v>55.0</v>
      </c>
      <c r="R337"/>
      <c r="S337"/>
      <c r="T337"/>
      <c r="U337"/>
      <c r="V337"/>
      <c r="W337">
        <v>18</v>
      </c>
    </row>
    <row r="338" spans="1:23">
      <c r="A338"/>
      <c r="B338" t="s">
        <v>65</v>
      </c>
      <c r="C338" t="s">
        <v>65</v>
      </c>
      <c r="D338" t="s">
        <v>33</v>
      </c>
      <c r="E338" t="s">
        <v>34</v>
      </c>
      <c r="F338" t="str">
        <f>"0013983"</f>
        <v>0013983</v>
      </c>
      <c r="G338">
        <v>1</v>
      </c>
      <c r="H338" t="str">
        <f>"00000001"</f>
        <v>00000001</v>
      </c>
      <c r="I338" t="s">
        <v>35</v>
      </c>
      <c r="J338"/>
      <c r="K338">
        <v>5.08</v>
      </c>
      <c r="L338">
        <v>0.0</v>
      </c>
      <c r="M338"/>
      <c r="N338"/>
      <c r="O338">
        <v>0.92</v>
      </c>
      <c r="P338">
        <v>0.0</v>
      </c>
      <c r="Q338">
        <v>6.0</v>
      </c>
      <c r="R338"/>
      <c r="S338"/>
      <c r="T338"/>
      <c r="U338"/>
      <c r="V338"/>
      <c r="W338">
        <v>18</v>
      </c>
    </row>
    <row r="339" spans="1:23">
      <c r="A339"/>
      <c r="B339" t="s">
        <v>65</v>
      </c>
      <c r="C339" t="s">
        <v>65</v>
      </c>
      <c r="D339" t="s">
        <v>33</v>
      </c>
      <c r="E339" t="s">
        <v>34</v>
      </c>
      <c r="F339" t="str">
        <f>"0013984"</f>
        <v>0013984</v>
      </c>
      <c r="G339">
        <v>1</v>
      </c>
      <c r="H339" t="str">
        <f>"00000001"</f>
        <v>00000001</v>
      </c>
      <c r="I339" t="s">
        <v>35</v>
      </c>
      <c r="J339"/>
      <c r="K339">
        <v>6.36</v>
      </c>
      <c r="L339">
        <v>0.0</v>
      </c>
      <c r="M339"/>
      <c r="N339"/>
      <c r="O339">
        <v>1.14</v>
      </c>
      <c r="P339">
        <v>0.0</v>
      </c>
      <c r="Q339">
        <v>7.5</v>
      </c>
      <c r="R339"/>
      <c r="S339"/>
      <c r="T339"/>
      <c r="U339"/>
      <c r="V339"/>
      <c r="W339">
        <v>18</v>
      </c>
    </row>
    <row r="340" spans="1:23">
      <c r="A340"/>
      <c r="B340" t="s">
        <v>65</v>
      </c>
      <c r="C340" t="s">
        <v>65</v>
      </c>
      <c r="D340" t="s">
        <v>33</v>
      </c>
      <c r="E340" t="s">
        <v>34</v>
      </c>
      <c r="F340" t="str">
        <f>"0013985"</f>
        <v>0013985</v>
      </c>
      <c r="G340">
        <v>1</v>
      </c>
      <c r="H340" t="str">
        <f>"00000001"</f>
        <v>00000001</v>
      </c>
      <c r="I340" t="s">
        <v>35</v>
      </c>
      <c r="J340"/>
      <c r="K340">
        <v>42.37</v>
      </c>
      <c r="L340">
        <v>0.0</v>
      </c>
      <c r="M340"/>
      <c r="N340"/>
      <c r="O340">
        <v>7.63</v>
      </c>
      <c r="P340">
        <v>0.0</v>
      </c>
      <c r="Q340">
        <v>50.0</v>
      </c>
      <c r="R340"/>
      <c r="S340"/>
      <c r="T340"/>
      <c r="U340"/>
      <c r="V340"/>
      <c r="W340">
        <v>18</v>
      </c>
    </row>
    <row r="341" spans="1:23">
      <c r="A341"/>
      <c r="B341" t="s">
        <v>65</v>
      </c>
      <c r="C341" t="s">
        <v>65</v>
      </c>
      <c r="D341" t="s">
        <v>33</v>
      </c>
      <c r="E341" t="s">
        <v>34</v>
      </c>
      <c r="F341" t="str">
        <f>"0013986"</f>
        <v>0013986</v>
      </c>
      <c r="G341">
        <v>1</v>
      </c>
      <c r="H341" t="str">
        <f>"00000001"</f>
        <v>00000001</v>
      </c>
      <c r="I341" t="s">
        <v>35</v>
      </c>
      <c r="J341"/>
      <c r="K341">
        <v>18.22</v>
      </c>
      <c r="L341">
        <v>0.0</v>
      </c>
      <c r="M341"/>
      <c r="N341"/>
      <c r="O341">
        <v>3.28</v>
      </c>
      <c r="P341">
        <v>0.0</v>
      </c>
      <c r="Q341">
        <v>21.5</v>
      </c>
      <c r="R341"/>
      <c r="S341"/>
      <c r="T341"/>
      <c r="U341"/>
      <c r="V341"/>
      <c r="W341">
        <v>18</v>
      </c>
    </row>
    <row r="342" spans="1:23">
      <c r="A342"/>
      <c r="B342" t="s">
        <v>65</v>
      </c>
      <c r="C342" t="s">
        <v>65</v>
      </c>
      <c r="D342" t="s">
        <v>33</v>
      </c>
      <c r="E342" t="s">
        <v>34</v>
      </c>
      <c r="F342" t="str">
        <f>"0013987"</f>
        <v>0013987</v>
      </c>
      <c r="G342">
        <v>1</v>
      </c>
      <c r="H342" t="str">
        <f>"00000001"</f>
        <v>00000001</v>
      </c>
      <c r="I342" t="s">
        <v>35</v>
      </c>
      <c r="J342"/>
      <c r="K342">
        <v>4.66</v>
      </c>
      <c r="L342">
        <v>0.0</v>
      </c>
      <c r="M342"/>
      <c r="N342"/>
      <c r="O342">
        <v>0.84</v>
      </c>
      <c r="P342">
        <v>0.0</v>
      </c>
      <c r="Q342">
        <v>5.5</v>
      </c>
      <c r="R342"/>
      <c r="S342"/>
      <c r="T342"/>
      <c r="U342"/>
      <c r="V342"/>
      <c r="W342">
        <v>18</v>
      </c>
    </row>
    <row r="343" spans="1:23">
      <c r="A343"/>
      <c r="B343" t="s">
        <v>65</v>
      </c>
      <c r="C343" t="s">
        <v>65</v>
      </c>
      <c r="D343" t="s">
        <v>33</v>
      </c>
      <c r="E343" t="s">
        <v>34</v>
      </c>
      <c r="F343" t="str">
        <f>"0013988"</f>
        <v>0013988</v>
      </c>
      <c r="G343">
        <v>1</v>
      </c>
      <c r="H343" t="str">
        <f>"00000001"</f>
        <v>00000001</v>
      </c>
      <c r="I343" t="s">
        <v>35</v>
      </c>
      <c r="J343"/>
      <c r="K343">
        <v>17.37</v>
      </c>
      <c r="L343">
        <v>0.0</v>
      </c>
      <c r="M343"/>
      <c r="N343"/>
      <c r="O343">
        <v>3.13</v>
      </c>
      <c r="P343">
        <v>0.0</v>
      </c>
      <c r="Q343">
        <v>20.5</v>
      </c>
      <c r="R343"/>
      <c r="S343"/>
      <c r="T343"/>
      <c r="U343"/>
      <c r="V343"/>
      <c r="W343">
        <v>18</v>
      </c>
    </row>
    <row r="344" spans="1:23">
      <c r="A344"/>
      <c r="B344" t="s">
        <v>65</v>
      </c>
      <c r="C344" t="s">
        <v>65</v>
      </c>
      <c r="D344" t="s">
        <v>33</v>
      </c>
      <c r="E344" t="s">
        <v>34</v>
      </c>
      <c r="F344" t="str">
        <f>"0013989"</f>
        <v>0013989</v>
      </c>
      <c r="G344">
        <v>1</v>
      </c>
      <c r="H344" t="str">
        <f>"00000001"</f>
        <v>00000001</v>
      </c>
      <c r="I344" t="s">
        <v>35</v>
      </c>
      <c r="J344"/>
      <c r="K344">
        <v>12.71</v>
      </c>
      <c r="L344">
        <v>0.0</v>
      </c>
      <c r="M344"/>
      <c r="N344"/>
      <c r="O344">
        <v>2.29</v>
      </c>
      <c r="P344">
        <v>0.0</v>
      </c>
      <c r="Q344">
        <v>15.0</v>
      </c>
      <c r="R344"/>
      <c r="S344"/>
      <c r="T344"/>
      <c r="U344"/>
      <c r="V344"/>
      <c r="W344">
        <v>18</v>
      </c>
    </row>
    <row r="345" spans="1:23">
      <c r="A345"/>
      <c r="B345" t="s">
        <v>65</v>
      </c>
      <c r="C345" t="s">
        <v>65</v>
      </c>
      <c r="D345" t="s">
        <v>33</v>
      </c>
      <c r="E345" t="s">
        <v>34</v>
      </c>
      <c r="F345" t="str">
        <f>"0013990"</f>
        <v>0013990</v>
      </c>
      <c r="G345">
        <v>1</v>
      </c>
      <c r="H345" t="str">
        <f>"00000001"</f>
        <v>00000001</v>
      </c>
      <c r="I345" t="s">
        <v>35</v>
      </c>
      <c r="J345"/>
      <c r="K345">
        <v>3.39</v>
      </c>
      <c r="L345">
        <v>0.0</v>
      </c>
      <c r="M345"/>
      <c r="N345"/>
      <c r="O345">
        <v>0.61</v>
      </c>
      <c r="P345">
        <v>0.0</v>
      </c>
      <c r="Q345">
        <v>4.0</v>
      </c>
      <c r="R345"/>
      <c r="S345"/>
      <c r="T345"/>
      <c r="U345"/>
      <c r="V345"/>
      <c r="W345">
        <v>18</v>
      </c>
    </row>
    <row r="346" spans="1:23">
      <c r="A346"/>
      <c r="B346" t="s">
        <v>65</v>
      </c>
      <c r="C346" t="s">
        <v>65</v>
      </c>
      <c r="D346" t="s">
        <v>33</v>
      </c>
      <c r="E346" t="s">
        <v>34</v>
      </c>
      <c r="F346" t="str">
        <f>"0013991"</f>
        <v>0013991</v>
      </c>
      <c r="G346">
        <v>1</v>
      </c>
      <c r="H346" t="str">
        <f>"00000001"</f>
        <v>00000001</v>
      </c>
      <c r="I346" t="s">
        <v>35</v>
      </c>
      <c r="J346"/>
      <c r="K346">
        <v>5.51</v>
      </c>
      <c r="L346">
        <v>0.0</v>
      </c>
      <c r="M346"/>
      <c r="N346"/>
      <c r="O346">
        <v>0.99</v>
      </c>
      <c r="P346">
        <v>0.0</v>
      </c>
      <c r="Q346">
        <v>6.5</v>
      </c>
      <c r="R346"/>
      <c r="S346"/>
      <c r="T346"/>
      <c r="U346"/>
      <c r="V346"/>
      <c r="W346">
        <v>18</v>
      </c>
    </row>
    <row r="347" spans="1:23">
      <c r="A347"/>
      <c r="B347" t="s">
        <v>65</v>
      </c>
      <c r="C347" t="s">
        <v>65</v>
      </c>
      <c r="D347" t="s">
        <v>33</v>
      </c>
      <c r="E347" t="s">
        <v>34</v>
      </c>
      <c r="F347" t="str">
        <f>"0013992"</f>
        <v>0013992</v>
      </c>
      <c r="G347">
        <v>1</v>
      </c>
      <c r="H347" t="str">
        <f>"00000001"</f>
        <v>00000001</v>
      </c>
      <c r="I347" t="s">
        <v>35</v>
      </c>
      <c r="J347"/>
      <c r="K347">
        <v>3.39</v>
      </c>
      <c r="L347">
        <v>0.0</v>
      </c>
      <c r="M347"/>
      <c r="N347"/>
      <c r="O347">
        <v>0.61</v>
      </c>
      <c r="P347">
        <v>0.0</v>
      </c>
      <c r="Q347">
        <v>4.0</v>
      </c>
      <c r="R347"/>
      <c r="S347"/>
      <c r="T347"/>
      <c r="U347"/>
      <c r="V347"/>
      <c r="W347">
        <v>18</v>
      </c>
    </row>
    <row r="348" spans="1:23">
      <c r="A348"/>
      <c r="B348" t="s">
        <v>65</v>
      </c>
      <c r="C348" t="s">
        <v>65</v>
      </c>
      <c r="D348" t="s">
        <v>33</v>
      </c>
      <c r="E348" t="s">
        <v>34</v>
      </c>
      <c r="F348" t="str">
        <f>"0013993"</f>
        <v>0013993</v>
      </c>
      <c r="G348">
        <v>1</v>
      </c>
      <c r="H348" t="str">
        <f>"00000001"</f>
        <v>00000001</v>
      </c>
      <c r="I348" t="s">
        <v>35</v>
      </c>
      <c r="J348"/>
      <c r="K348">
        <v>25.42</v>
      </c>
      <c r="L348">
        <v>0.0</v>
      </c>
      <c r="M348"/>
      <c r="N348"/>
      <c r="O348">
        <v>4.58</v>
      </c>
      <c r="P348">
        <v>0.0</v>
      </c>
      <c r="Q348">
        <v>30.0</v>
      </c>
      <c r="R348"/>
      <c r="S348"/>
      <c r="T348"/>
      <c r="U348"/>
      <c r="V348"/>
      <c r="W348">
        <v>18</v>
      </c>
    </row>
    <row r="349" spans="1:23">
      <c r="A349"/>
      <c r="B349" t="s">
        <v>65</v>
      </c>
      <c r="C349" t="s">
        <v>65</v>
      </c>
      <c r="D349" t="s">
        <v>33</v>
      </c>
      <c r="E349" t="s">
        <v>34</v>
      </c>
      <c r="F349" t="str">
        <f>"0013994"</f>
        <v>0013994</v>
      </c>
      <c r="G349">
        <v>1</v>
      </c>
      <c r="H349" t="str">
        <f>"00000001"</f>
        <v>00000001</v>
      </c>
      <c r="I349" t="s">
        <v>35</v>
      </c>
      <c r="J349"/>
      <c r="K349">
        <v>2.54</v>
      </c>
      <c r="L349">
        <v>0.0</v>
      </c>
      <c r="M349"/>
      <c r="N349"/>
      <c r="O349">
        <v>0.46</v>
      </c>
      <c r="P349">
        <v>0.0</v>
      </c>
      <c r="Q349">
        <v>3.0</v>
      </c>
      <c r="R349"/>
      <c r="S349"/>
      <c r="T349"/>
      <c r="U349"/>
      <c r="V349"/>
      <c r="W349">
        <v>18</v>
      </c>
    </row>
    <row r="350" spans="1:23">
      <c r="A350"/>
      <c r="B350" t="s">
        <v>65</v>
      </c>
      <c r="C350" t="s">
        <v>65</v>
      </c>
      <c r="D350" t="s">
        <v>33</v>
      </c>
      <c r="E350" t="s">
        <v>34</v>
      </c>
      <c r="F350" t="str">
        <f>"0013995"</f>
        <v>0013995</v>
      </c>
      <c r="G350">
        <v>1</v>
      </c>
      <c r="H350" t="str">
        <f>"00000001"</f>
        <v>00000001</v>
      </c>
      <c r="I350" t="s">
        <v>35</v>
      </c>
      <c r="J350"/>
      <c r="K350">
        <v>9.32</v>
      </c>
      <c r="L350">
        <v>0.0</v>
      </c>
      <c r="M350"/>
      <c r="N350"/>
      <c r="O350">
        <v>1.68</v>
      </c>
      <c r="P350">
        <v>0.0</v>
      </c>
      <c r="Q350">
        <v>11.0</v>
      </c>
      <c r="R350"/>
      <c r="S350"/>
      <c r="T350"/>
      <c r="U350"/>
      <c r="V350"/>
      <c r="W350">
        <v>18</v>
      </c>
    </row>
    <row r="351" spans="1:23">
      <c r="A351"/>
      <c r="B351" t="s">
        <v>65</v>
      </c>
      <c r="C351" t="s">
        <v>65</v>
      </c>
      <c r="D351" t="s">
        <v>33</v>
      </c>
      <c r="E351" t="s">
        <v>34</v>
      </c>
      <c r="F351" t="str">
        <f>"0013996"</f>
        <v>0013996</v>
      </c>
      <c r="G351">
        <v>1</v>
      </c>
      <c r="H351" t="str">
        <f>"00000001"</f>
        <v>00000001</v>
      </c>
      <c r="I351" t="s">
        <v>35</v>
      </c>
      <c r="J351"/>
      <c r="K351">
        <v>42.37</v>
      </c>
      <c r="L351">
        <v>0.0</v>
      </c>
      <c r="M351"/>
      <c r="N351"/>
      <c r="O351">
        <v>7.63</v>
      </c>
      <c r="P351">
        <v>0.0</v>
      </c>
      <c r="Q351">
        <v>50.0</v>
      </c>
      <c r="R351"/>
      <c r="S351"/>
      <c r="T351"/>
      <c r="U351"/>
      <c r="V351"/>
      <c r="W351">
        <v>18</v>
      </c>
    </row>
    <row r="352" spans="1:23">
      <c r="A352"/>
      <c r="B352" t="s">
        <v>65</v>
      </c>
      <c r="C352" t="s">
        <v>65</v>
      </c>
      <c r="D352" t="s">
        <v>33</v>
      </c>
      <c r="E352" t="s">
        <v>34</v>
      </c>
      <c r="F352" t="str">
        <f>"0013997"</f>
        <v>0013997</v>
      </c>
      <c r="G352">
        <v>1</v>
      </c>
      <c r="H352" t="str">
        <f>"00000001"</f>
        <v>00000001</v>
      </c>
      <c r="I352" t="s">
        <v>35</v>
      </c>
      <c r="J352"/>
      <c r="K352">
        <v>8.47</v>
      </c>
      <c r="L352">
        <v>0.0</v>
      </c>
      <c r="M352"/>
      <c r="N352"/>
      <c r="O352">
        <v>1.53</v>
      </c>
      <c r="P352">
        <v>0.0</v>
      </c>
      <c r="Q352">
        <v>10.0</v>
      </c>
      <c r="R352"/>
      <c r="S352"/>
      <c r="T352"/>
      <c r="U352"/>
      <c r="V352"/>
      <c r="W352">
        <v>18</v>
      </c>
    </row>
    <row r="353" spans="1:23">
      <c r="A353"/>
      <c r="B353" t="s">
        <v>65</v>
      </c>
      <c r="C353" t="s">
        <v>65</v>
      </c>
      <c r="D353" t="s">
        <v>33</v>
      </c>
      <c r="E353" t="s">
        <v>34</v>
      </c>
      <c r="F353" t="str">
        <f>"0013998"</f>
        <v>0013998</v>
      </c>
      <c r="G353">
        <v>1</v>
      </c>
      <c r="H353" t="str">
        <f>"00000001"</f>
        <v>00000001</v>
      </c>
      <c r="I353" t="s">
        <v>35</v>
      </c>
      <c r="J353"/>
      <c r="K353">
        <v>1.27</v>
      </c>
      <c r="L353">
        <v>0.0</v>
      </c>
      <c r="M353"/>
      <c r="N353"/>
      <c r="O353">
        <v>0.23</v>
      </c>
      <c r="P353">
        <v>0.0</v>
      </c>
      <c r="Q353">
        <v>1.5</v>
      </c>
      <c r="R353"/>
      <c r="S353"/>
      <c r="T353"/>
      <c r="U353"/>
      <c r="V353"/>
      <c r="W353">
        <v>18</v>
      </c>
    </row>
    <row r="354" spans="1:23">
      <c r="A354"/>
      <c r="B354" t="s">
        <v>65</v>
      </c>
      <c r="C354" t="s">
        <v>65</v>
      </c>
      <c r="D354" t="s">
        <v>33</v>
      </c>
      <c r="E354" t="s">
        <v>34</v>
      </c>
      <c r="F354" t="str">
        <f>"0013999"</f>
        <v>0013999</v>
      </c>
      <c r="G354">
        <v>1</v>
      </c>
      <c r="H354" t="str">
        <f>"00000001"</f>
        <v>00000001</v>
      </c>
      <c r="I354" t="s">
        <v>35</v>
      </c>
      <c r="J354"/>
      <c r="K354">
        <v>3.39</v>
      </c>
      <c r="L354">
        <v>0.0</v>
      </c>
      <c r="M354"/>
      <c r="N354"/>
      <c r="O354">
        <v>0.61</v>
      </c>
      <c r="P354">
        <v>0.0</v>
      </c>
      <c r="Q354">
        <v>4.0</v>
      </c>
      <c r="R354"/>
      <c r="S354"/>
      <c r="T354"/>
      <c r="U354"/>
      <c r="V354"/>
      <c r="W354">
        <v>18</v>
      </c>
    </row>
    <row r="355" spans="1:23">
      <c r="A355"/>
      <c r="B355" t="s">
        <v>65</v>
      </c>
      <c r="C355" t="s">
        <v>65</v>
      </c>
      <c r="D355" t="s">
        <v>33</v>
      </c>
      <c r="E355" t="s">
        <v>34</v>
      </c>
      <c r="F355" t="str">
        <f>"0014000"</f>
        <v>0014000</v>
      </c>
      <c r="G355">
        <v>1</v>
      </c>
      <c r="H355" t="str">
        <f>"00000001"</f>
        <v>00000001</v>
      </c>
      <c r="I355" t="s">
        <v>35</v>
      </c>
      <c r="J355"/>
      <c r="K355">
        <v>2.71</v>
      </c>
      <c r="L355">
        <v>0.0</v>
      </c>
      <c r="M355"/>
      <c r="N355"/>
      <c r="O355">
        <v>0.49</v>
      </c>
      <c r="P355">
        <v>0.0</v>
      </c>
      <c r="Q355">
        <v>3.2</v>
      </c>
      <c r="R355"/>
      <c r="S355"/>
      <c r="T355"/>
      <c r="U355"/>
      <c r="V355"/>
      <c r="W355">
        <v>18</v>
      </c>
    </row>
    <row r="356" spans="1:23">
      <c r="A356"/>
      <c r="B356" t="s">
        <v>65</v>
      </c>
      <c r="C356" t="s">
        <v>65</v>
      </c>
      <c r="D356" t="s">
        <v>33</v>
      </c>
      <c r="E356" t="s">
        <v>34</v>
      </c>
      <c r="F356" t="str">
        <f>"0014001"</f>
        <v>0014001</v>
      </c>
      <c r="G356">
        <v>1</v>
      </c>
      <c r="H356" t="str">
        <f>"00000001"</f>
        <v>00000001</v>
      </c>
      <c r="I356" t="s">
        <v>35</v>
      </c>
      <c r="J356"/>
      <c r="K356">
        <v>27.12</v>
      </c>
      <c r="L356">
        <v>0.0</v>
      </c>
      <c r="M356"/>
      <c r="N356"/>
      <c r="O356">
        <v>4.88</v>
      </c>
      <c r="P356">
        <v>0.0</v>
      </c>
      <c r="Q356">
        <v>32.0</v>
      </c>
      <c r="R356"/>
      <c r="S356"/>
      <c r="T356"/>
      <c r="U356"/>
      <c r="V356"/>
      <c r="W356">
        <v>18</v>
      </c>
    </row>
    <row r="357" spans="1:23">
      <c r="A357"/>
      <c r="B357" t="s">
        <v>65</v>
      </c>
      <c r="C357" t="s">
        <v>65</v>
      </c>
      <c r="D357" t="s">
        <v>33</v>
      </c>
      <c r="E357" t="s">
        <v>34</v>
      </c>
      <c r="F357" t="str">
        <f>"0014002"</f>
        <v>0014002</v>
      </c>
      <c r="G357">
        <v>1</v>
      </c>
      <c r="H357" t="str">
        <f>"00000001"</f>
        <v>00000001</v>
      </c>
      <c r="I357" t="s">
        <v>35</v>
      </c>
      <c r="J357"/>
      <c r="K357">
        <v>14.83</v>
      </c>
      <c r="L357">
        <v>0.0</v>
      </c>
      <c r="M357"/>
      <c r="N357"/>
      <c r="O357">
        <v>2.67</v>
      </c>
      <c r="P357">
        <v>0.0</v>
      </c>
      <c r="Q357">
        <v>17.5</v>
      </c>
      <c r="R357"/>
      <c r="S357"/>
      <c r="T357"/>
      <c r="U357"/>
      <c r="V357"/>
      <c r="W357">
        <v>18</v>
      </c>
    </row>
    <row r="358" spans="1:23">
      <c r="A358"/>
      <c r="B358" t="s">
        <v>65</v>
      </c>
      <c r="C358" t="s">
        <v>65</v>
      </c>
      <c r="D358" t="s">
        <v>33</v>
      </c>
      <c r="E358" t="s">
        <v>34</v>
      </c>
      <c r="F358" t="str">
        <f>"0014003"</f>
        <v>0014003</v>
      </c>
      <c r="G358">
        <v>1</v>
      </c>
      <c r="H358" t="str">
        <f>"00000001"</f>
        <v>00000001</v>
      </c>
      <c r="I358" t="s">
        <v>35</v>
      </c>
      <c r="J358"/>
      <c r="K358">
        <v>15.25</v>
      </c>
      <c r="L358">
        <v>0.0</v>
      </c>
      <c r="M358"/>
      <c r="N358"/>
      <c r="O358">
        <v>2.75</v>
      </c>
      <c r="P358">
        <v>0.0</v>
      </c>
      <c r="Q358">
        <v>18.0</v>
      </c>
      <c r="R358"/>
      <c r="S358"/>
      <c r="T358"/>
      <c r="U358"/>
      <c r="V358"/>
      <c r="W358">
        <v>18</v>
      </c>
    </row>
    <row r="359" spans="1:23">
      <c r="A359"/>
      <c r="B359" t="s">
        <v>65</v>
      </c>
      <c r="C359" t="s">
        <v>65</v>
      </c>
      <c r="D359" t="s">
        <v>33</v>
      </c>
      <c r="E359" t="s">
        <v>34</v>
      </c>
      <c r="F359" t="str">
        <f>"0014004"</f>
        <v>0014004</v>
      </c>
      <c r="G359">
        <v>1</v>
      </c>
      <c r="H359" t="str">
        <f>"00000001"</f>
        <v>00000001</v>
      </c>
      <c r="I359" t="s">
        <v>35</v>
      </c>
      <c r="J359"/>
      <c r="K359">
        <v>8.47</v>
      </c>
      <c r="L359">
        <v>0.0</v>
      </c>
      <c r="M359"/>
      <c r="N359"/>
      <c r="O359">
        <v>1.53</v>
      </c>
      <c r="P359">
        <v>0.0</v>
      </c>
      <c r="Q359">
        <v>10.0</v>
      </c>
      <c r="R359"/>
      <c r="S359"/>
      <c r="T359"/>
      <c r="U359"/>
      <c r="V359"/>
      <c r="W359">
        <v>18</v>
      </c>
    </row>
    <row r="360" spans="1:23">
      <c r="A360"/>
      <c r="B360" t="s">
        <v>65</v>
      </c>
      <c r="C360" t="s">
        <v>65</v>
      </c>
      <c r="D360" t="s">
        <v>33</v>
      </c>
      <c r="E360" t="s">
        <v>34</v>
      </c>
      <c r="F360" t="str">
        <f>"0014005"</f>
        <v>0014005</v>
      </c>
      <c r="G360">
        <v>1</v>
      </c>
      <c r="H360" t="str">
        <f>"00000001"</f>
        <v>00000001</v>
      </c>
      <c r="I360" t="s">
        <v>35</v>
      </c>
      <c r="J360"/>
      <c r="K360">
        <v>2.54</v>
      </c>
      <c r="L360">
        <v>0.0</v>
      </c>
      <c r="M360"/>
      <c r="N360"/>
      <c r="O360">
        <v>0.46</v>
      </c>
      <c r="P360">
        <v>0.0</v>
      </c>
      <c r="Q360">
        <v>3.0</v>
      </c>
      <c r="R360"/>
      <c r="S360"/>
      <c r="T360"/>
      <c r="U360"/>
      <c r="V360"/>
      <c r="W360">
        <v>18</v>
      </c>
    </row>
    <row r="361" spans="1:23">
      <c r="A361"/>
      <c r="B361" t="s">
        <v>65</v>
      </c>
      <c r="C361" t="s">
        <v>65</v>
      </c>
      <c r="D361" t="s">
        <v>33</v>
      </c>
      <c r="E361" t="s">
        <v>34</v>
      </c>
      <c r="F361" t="str">
        <f>"0014006"</f>
        <v>0014006</v>
      </c>
      <c r="G361">
        <v>1</v>
      </c>
      <c r="H361" t="str">
        <f>"00000001"</f>
        <v>00000001</v>
      </c>
      <c r="I361" t="s">
        <v>35</v>
      </c>
      <c r="J361"/>
      <c r="K361">
        <v>23.73</v>
      </c>
      <c r="L361">
        <v>0.0</v>
      </c>
      <c r="M361"/>
      <c r="N361"/>
      <c r="O361">
        <v>4.27</v>
      </c>
      <c r="P361">
        <v>0.0</v>
      </c>
      <c r="Q361">
        <v>28.0</v>
      </c>
      <c r="R361"/>
      <c r="S361"/>
      <c r="T361"/>
      <c r="U361"/>
      <c r="V361"/>
      <c r="W361">
        <v>18</v>
      </c>
    </row>
    <row r="362" spans="1:23">
      <c r="A362"/>
      <c r="B362" t="s">
        <v>65</v>
      </c>
      <c r="C362" t="s">
        <v>65</v>
      </c>
      <c r="D362" t="s">
        <v>33</v>
      </c>
      <c r="E362" t="s">
        <v>34</v>
      </c>
      <c r="F362" t="str">
        <f>"0014007"</f>
        <v>0014007</v>
      </c>
      <c r="G362">
        <v>1</v>
      </c>
      <c r="H362" t="str">
        <f>"00000001"</f>
        <v>00000001</v>
      </c>
      <c r="I362" t="s">
        <v>35</v>
      </c>
      <c r="J362"/>
      <c r="K362">
        <v>15.25</v>
      </c>
      <c r="L362">
        <v>0.0</v>
      </c>
      <c r="M362"/>
      <c r="N362"/>
      <c r="O362">
        <v>2.75</v>
      </c>
      <c r="P362">
        <v>0.0</v>
      </c>
      <c r="Q362">
        <v>18.0</v>
      </c>
      <c r="R362"/>
      <c r="S362"/>
      <c r="T362"/>
      <c r="U362"/>
      <c r="V362"/>
      <c r="W362">
        <v>18</v>
      </c>
    </row>
    <row r="363" spans="1:23">
      <c r="A363"/>
      <c r="B363" t="s">
        <v>65</v>
      </c>
      <c r="C363" t="s">
        <v>65</v>
      </c>
      <c r="D363" t="s">
        <v>33</v>
      </c>
      <c r="E363" t="s">
        <v>34</v>
      </c>
      <c r="F363" t="str">
        <f>"0014008"</f>
        <v>0014008</v>
      </c>
      <c r="G363">
        <v>1</v>
      </c>
      <c r="H363" t="str">
        <f>"00000001"</f>
        <v>00000001</v>
      </c>
      <c r="I363" t="s">
        <v>35</v>
      </c>
      <c r="J363"/>
      <c r="K363">
        <v>8.47</v>
      </c>
      <c r="L363">
        <v>0.0</v>
      </c>
      <c r="M363"/>
      <c r="N363"/>
      <c r="O363">
        <v>1.53</v>
      </c>
      <c r="P363">
        <v>0.0</v>
      </c>
      <c r="Q363">
        <v>10.0</v>
      </c>
      <c r="R363"/>
      <c r="S363"/>
      <c r="T363"/>
      <c r="U363"/>
      <c r="V363"/>
      <c r="W363">
        <v>18</v>
      </c>
    </row>
    <row r="364" spans="1:23">
      <c r="A364"/>
      <c r="B364" t="s">
        <v>65</v>
      </c>
      <c r="C364" t="s">
        <v>65</v>
      </c>
      <c r="D364" t="s">
        <v>33</v>
      </c>
      <c r="E364" t="s">
        <v>34</v>
      </c>
      <c r="F364" t="str">
        <f>"0014009"</f>
        <v>0014009</v>
      </c>
      <c r="G364">
        <v>1</v>
      </c>
      <c r="H364" t="str">
        <f>"00000001"</f>
        <v>00000001</v>
      </c>
      <c r="I364" t="s">
        <v>35</v>
      </c>
      <c r="J364"/>
      <c r="K364">
        <v>16.95</v>
      </c>
      <c r="L364">
        <v>0.0</v>
      </c>
      <c r="M364"/>
      <c r="N364"/>
      <c r="O364">
        <v>3.05</v>
      </c>
      <c r="P364">
        <v>0.0</v>
      </c>
      <c r="Q364">
        <v>20.0</v>
      </c>
      <c r="R364"/>
      <c r="S364"/>
      <c r="T364"/>
      <c r="U364"/>
      <c r="V364"/>
      <c r="W364">
        <v>18</v>
      </c>
    </row>
    <row r="365" spans="1:23">
      <c r="A365"/>
      <c r="B365" t="s">
        <v>65</v>
      </c>
      <c r="C365" t="s">
        <v>65</v>
      </c>
      <c r="D365" t="s">
        <v>33</v>
      </c>
      <c r="E365" t="s">
        <v>34</v>
      </c>
      <c r="F365" t="str">
        <f>"0014010"</f>
        <v>0014010</v>
      </c>
      <c r="G365">
        <v>1</v>
      </c>
      <c r="H365" t="str">
        <f>"00000001"</f>
        <v>00000001</v>
      </c>
      <c r="I365" t="s">
        <v>35</v>
      </c>
      <c r="J365"/>
      <c r="K365">
        <v>20.34</v>
      </c>
      <c r="L365">
        <v>0.0</v>
      </c>
      <c r="M365"/>
      <c r="N365"/>
      <c r="O365">
        <v>3.66</v>
      </c>
      <c r="P365">
        <v>0.0</v>
      </c>
      <c r="Q365">
        <v>24.0</v>
      </c>
      <c r="R365"/>
      <c r="S365"/>
      <c r="T365"/>
      <c r="U365"/>
      <c r="V365"/>
      <c r="W365">
        <v>18</v>
      </c>
    </row>
    <row r="366" spans="1:23">
      <c r="A366"/>
      <c r="B366" t="s">
        <v>65</v>
      </c>
      <c r="C366" t="s">
        <v>65</v>
      </c>
      <c r="D366" t="s">
        <v>33</v>
      </c>
      <c r="E366" t="s">
        <v>34</v>
      </c>
      <c r="F366" t="str">
        <f>"0014011"</f>
        <v>0014011</v>
      </c>
      <c r="G366">
        <v>1</v>
      </c>
      <c r="H366" t="str">
        <f>"00000001"</f>
        <v>00000001</v>
      </c>
      <c r="I366" t="s">
        <v>35</v>
      </c>
      <c r="J366"/>
      <c r="K366">
        <v>4.24</v>
      </c>
      <c r="L366">
        <v>0.0</v>
      </c>
      <c r="M366"/>
      <c r="N366"/>
      <c r="O366">
        <v>0.76</v>
      </c>
      <c r="P366">
        <v>0.0</v>
      </c>
      <c r="Q366">
        <v>5.0</v>
      </c>
      <c r="R366"/>
      <c r="S366"/>
      <c r="T366"/>
      <c r="U366"/>
      <c r="V366"/>
      <c r="W366">
        <v>18</v>
      </c>
    </row>
    <row r="367" spans="1:23">
      <c r="A367"/>
      <c r="B367" t="s">
        <v>65</v>
      </c>
      <c r="C367" t="s">
        <v>65</v>
      </c>
      <c r="D367" t="s">
        <v>33</v>
      </c>
      <c r="E367" t="s">
        <v>34</v>
      </c>
      <c r="F367" t="str">
        <f>"0014012"</f>
        <v>0014012</v>
      </c>
      <c r="G367">
        <v>1</v>
      </c>
      <c r="H367" t="str">
        <f>"00000001"</f>
        <v>00000001</v>
      </c>
      <c r="I367" t="s">
        <v>35</v>
      </c>
      <c r="J367"/>
      <c r="K367">
        <v>6.78</v>
      </c>
      <c r="L367">
        <v>0.0</v>
      </c>
      <c r="M367"/>
      <c r="N367"/>
      <c r="O367">
        <v>1.22</v>
      </c>
      <c r="P367">
        <v>0.0</v>
      </c>
      <c r="Q367">
        <v>8.0</v>
      </c>
      <c r="R367"/>
      <c r="S367"/>
      <c r="T367"/>
      <c r="U367"/>
      <c r="V367"/>
      <c r="W367">
        <v>18</v>
      </c>
    </row>
    <row r="368" spans="1:23">
      <c r="A368"/>
      <c r="B368" t="s">
        <v>65</v>
      </c>
      <c r="C368" t="s">
        <v>65</v>
      </c>
      <c r="D368" t="s">
        <v>33</v>
      </c>
      <c r="E368" t="s">
        <v>34</v>
      </c>
      <c r="F368" t="str">
        <f>"0014013"</f>
        <v>0014013</v>
      </c>
      <c r="G368">
        <v>1</v>
      </c>
      <c r="H368" t="str">
        <f>"00000001"</f>
        <v>00000001</v>
      </c>
      <c r="I368" t="s">
        <v>35</v>
      </c>
      <c r="J368"/>
      <c r="K368">
        <v>312.71</v>
      </c>
      <c r="L368">
        <v>0.0</v>
      </c>
      <c r="M368"/>
      <c r="N368"/>
      <c r="O368">
        <v>56.29</v>
      </c>
      <c r="P368">
        <v>0.0</v>
      </c>
      <c r="Q368">
        <v>369.0</v>
      </c>
      <c r="R368"/>
      <c r="S368"/>
      <c r="T368"/>
      <c r="U368"/>
      <c r="V368"/>
      <c r="W368">
        <v>18</v>
      </c>
    </row>
    <row r="369" spans="1:23">
      <c r="A369"/>
      <c r="B369" t="s">
        <v>65</v>
      </c>
      <c r="C369" t="s">
        <v>65</v>
      </c>
      <c r="D369" t="s">
        <v>33</v>
      </c>
      <c r="E369" t="s">
        <v>34</v>
      </c>
      <c r="F369" t="str">
        <f>"0014014"</f>
        <v>0014014</v>
      </c>
      <c r="G369">
        <v>1</v>
      </c>
      <c r="H369" t="str">
        <f>"00000001"</f>
        <v>00000001</v>
      </c>
      <c r="I369" t="s">
        <v>35</v>
      </c>
      <c r="J369"/>
      <c r="K369">
        <v>6.78</v>
      </c>
      <c r="L369">
        <v>0.0</v>
      </c>
      <c r="M369"/>
      <c r="N369"/>
      <c r="O369">
        <v>1.22</v>
      </c>
      <c r="P369">
        <v>0.0</v>
      </c>
      <c r="Q369">
        <v>8.0</v>
      </c>
      <c r="R369"/>
      <c r="S369"/>
      <c r="T369"/>
      <c r="U369"/>
      <c r="V369"/>
      <c r="W369">
        <v>18</v>
      </c>
    </row>
    <row r="370" spans="1:23">
      <c r="A370"/>
      <c r="B370" t="s">
        <v>70</v>
      </c>
      <c r="C370" t="s">
        <v>70</v>
      </c>
      <c r="D370" t="s">
        <v>33</v>
      </c>
      <c r="E370" t="s">
        <v>34</v>
      </c>
      <c r="F370" t="str">
        <f>"0014016"</f>
        <v>0014016</v>
      </c>
      <c r="G370">
        <v>1</v>
      </c>
      <c r="H370" t="str">
        <f>"00000001"</f>
        <v>00000001</v>
      </c>
      <c r="I370" t="s">
        <v>35</v>
      </c>
      <c r="J370"/>
      <c r="K370">
        <v>86.44</v>
      </c>
      <c r="L370">
        <v>0.0</v>
      </c>
      <c r="M370"/>
      <c r="N370"/>
      <c r="O370">
        <v>15.56</v>
      </c>
      <c r="P370">
        <v>0.0</v>
      </c>
      <c r="Q370">
        <v>102.0</v>
      </c>
      <c r="R370"/>
      <c r="S370"/>
      <c r="T370"/>
      <c r="U370"/>
      <c r="V370"/>
      <c r="W370">
        <v>18</v>
      </c>
    </row>
    <row r="371" spans="1:23">
      <c r="A371"/>
      <c r="B371" t="s">
        <v>70</v>
      </c>
      <c r="C371" t="s">
        <v>70</v>
      </c>
      <c r="D371" t="s">
        <v>33</v>
      </c>
      <c r="E371" t="s">
        <v>34</v>
      </c>
      <c r="F371" t="str">
        <f>"0014017"</f>
        <v>0014017</v>
      </c>
      <c r="G371">
        <v>1</v>
      </c>
      <c r="H371" t="str">
        <f>"00000001"</f>
        <v>00000001</v>
      </c>
      <c r="I371" t="s">
        <v>35</v>
      </c>
      <c r="J371"/>
      <c r="K371">
        <v>5.08</v>
      </c>
      <c r="L371">
        <v>0.0</v>
      </c>
      <c r="M371"/>
      <c r="N371"/>
      <c r="O371">
        <v>0.92</v>
      </c>
      <c r="P371">
        <v>0.0</v>
      </c>
      <c r="Q371">
        <v>6.0</v>
      </c>
      <c r="R371"/>
      <c r="S371"/>
      <c r="T371"/>
      <c r="U371"/>
      <c r="V371"/>
      <c r="W371">
        <v>18</v>
      </c>
    </row>
    <row r="372" spans="1:23">
      <c r="A372"/>
      <c r="B372" t="s">
        <v>70</v>
      </c>
      <c r="C372" t="s">
        <v>70</v>
      </c>
      <c r="D372" t="s">
        <v>33</v>
      </c>
      <c r="E372" t="s">
        <v>34</v>
      </c>
      <c r="F372" t="str">
        <f>"0014018"</f>
        <v>0014018</v>
      </c>
      <c r="G372">
        <v>1</v>
      </c>
      <c r="H372" t="str">
        <f>"00000001"</f>
        <v>00000001</v>
      </c>
      <c r="I372" t="s">
        <v>35</v>
      </c>
      <c r="J372"/>
      <c r="K372">
        <v>22.88</v>
      </c>
      <c r="L372">
        <v>0.0</v>
      </c>
      <c r="M372"/>
      <c r="N372"/>
      <c r="O372">
        <v>4.12</v>
      </c>
      <c r="P372">
        <v>0.0</v>
      </c>
      <c r="Q372">
        <v>27.0</v>
      </c>
      <c r="R372"/>
      <c r="S372"/>
      <c r="T372"/>
      <c r="U372"/>
      <c r="V372"/>
      <c r="W372">
        <v>18</v>
      </c>
    </row>
    <row r="373" spans="1:23">
      <c r="A373"/>
      <c r="B373" t="s">
        <v>70</v>
      </c>
      <c r="C373" t="s">
        <v>70</v>
      </c>
      <c r="D373" t="s">
        <v>33</v>
      </c>
      <c r="E373" t="s">
        <v>34</v>
      </c>
      <c r="F373" t="str">
        <f>"0014019"</f>
        <v>0014019</v>
      </c>
      <c r="G373">
        <v>1</v>
      </c>
      <c r="H373" t="str">
        <f>"00000001"</f>
        <v>00000001</v>
      </c>
      <c r="I373" t="s">
        <v>35</v>
      </c>
      <c r="J373"/>
      <c r="K373">
        <v>11.53</v>
      </c>
      <c r="L373">
        <v>0.0</v>
      </c>
      <c r="M373"/>
      <c r="N373"/>
      <c r="O373">
        <v>2.07</v>
      </c>
      <c r="P373">
        <v>0.0</v>
      </c>
      <c r="Q373">
        <v>13.6</v>
      </c>
      <c r="R373"/>
      <c r="S373"/>
      <c r="T373"/>
      <c r="U373"/>
      <c r="V373"/>
      <c r="W373">
        <v>18</v>
      </c>
    </row>
    <row r="374" spans="1:23">
      <c r="A374"/>
      <c r="B374" t="s">
        <v>70</v>
      </c>
      <c r="C374" t="s">
        <v>70</v>
      </c>
      <c r="D374" t="s">
        <v>33</v>
      </c>
      <c r="E374" t="s">
        <v>34</v>
      </c>
      <c r="F374" t="str">
        <f>"0014020"</f>
        <v>0014020</v>
      </c>
      <c r="G374">
        <v>1</v>
      </c>
      <c r="H374" t="str">
        <f>"44191130"</f>
        <v>44191130</v>
      </c>
      <c r="I374" t="s">
        <v>71</v>
      </c>
      <c r="J374"/>
      <c r="K374">
        <v>12.71</v>
      </c>
      <c r="L374">
        <v>0.0</v>
      </c>
      <c r="M374"/>
      <c r="N374"/>
      <c r="O374">
        <v>2.29</v>
      </c>
      <c r="P374">
        <v>0.0</v>
      </c>
      <c r="Q374">
        <v>15.0</v>
      </c>
      <c r="R374"/>
      <c r="S374"/>
      <c r="T374"/>
      <c r="U374"/>
      <c r="V374"/>
      <c r="W374">
        <v>18</v>
      </c>
    </row>
    <row r="375" spans="1:23">
      <c r="A375"/>
      <c r="B375" t="s">
        <v>70</v>
      </c>
      <c r="C375" t="s">
        <v>70</v>
      </c>
      <c r="D375" t="s">
        <v>33</v>
      </c>
      <c r="E375" t="s">
        <v>34</v>
      </c>
      <c r="F375" t="str">
        <f>"0014021"</f>
        <v>0014021</v>
      </c>
      <c r="G375">
        <v>1</v>
      </c>
      <c r="H375" t="str">
        <f>"00000001"</f>
        <v>00000001</v>
      </c>
      <c r="I375" t="s">
        <v>35</v>
      </c>
      <c r="J375"/>
      <c r="K375">
        <v>20.51</v>
      </c>
      <c r="L375">
        <v>0.0</v>
      </c>
      <c r="M375"/>
      <c r="N375"/>
      <c r="O375">
        <v>3.69</v>
      </c>
      <c r="P375">
        <v>0.0</v>
      </c>
      <c r="Q375">
        <v>24.2</v>
      </c>
      <c r="R375"/>
      <c r="S375"/>
      <c r="T375"/>
      <c r="U375"/>
      <c r="V375"/>
      <c r="W375">
        <v>18</v>
      </c>
    </row>
    <row r="376" spans="1:23">
      <c r="A376"/>
      <c r="B376" t="s">
        <v>70</v>
      </c>
      <c r="C376" t="s">
        <v>70</v>
      </c>
      <c r="D376" t="s">
        <v>33</v>
      </c>
      <c r="E376" t="s">
        <v>34</v>
      </c>
      <c r="F376" t="str">
        <f>"0014022"</f>
        <v>0014022</v>
      </c>
      <c r="G376">
        <v>1</v>
      </c>
      <c r="H376" t="str">
        <f>"00000001"</f>
        <v>00000001</v>
      </c>
      <c r="I376" t="s">
        <v>35</v>
      </c>
      <c r="J376"/>
      <c r="K376">
        <v>22.2</v>
      </c>
      <c r="L376">
        <v>0.0</v>
      </c>
      <c r="M376"/>
      <c r="N376"/>
      <c r="O376">
        <v>4.0</v>
      </c>
      <c r="P376">
        <v>0.0</v>
      </c>
      <c r="Q376">
        <v>26.2</v>
      </c>
      <c r="R376"/>
      <c r="S376"/>
      <c r="T376"/>
      <c r="U376"/>
      <c r="V376"/>
      <c r="W376">
        <v>18</v>
      </c>
    </row>
    <row r="377" spans="1:23">
      <c r="A377"/>
      <c r="B377" t="s">
        <v>70</v>
      </c>
      <c r="C377" t="s">
        <v>70</v>
      </c>
      <c r="D377" t="s">
        <v>33</v>
      </c>
      <c r="E377" t="s">
        <v>34</v>
      </c>
      <c r="F377" t="str">
        <f>"0014023"</f>
        <v>0014023</v>
      </c>
      <c r="G377">
        <v>1</v>
      </c>
      <c r="H377" t="str">
        <f>"00000001"</f>
        <v>00000001</v>
      </c>
      <c r="I377" t="s">
        <v>35</v>
      </c>
      <c r="J377"/>
      <c r="K377">
        <v>52.54</v>
      </c>
      <c r="L377">
        <v>0.0</v>
      </c>
      <c r="M377"/>
      <c r="N377"/>
      <c r="O377">
        <v>9.46</v>
      </c>
      <c r="P377">
        <v>0.0</v>
      </c>
      <c r="Q377">
        <v>62.0</v>
      </c>
      <c r="R377"/>
      <c r="S377"/>
      <c r="T377"/>
      <c r="U377"/>
      <c r="V377"/>
      <c r="W377">
        <v>18</v>
      </c>
    </row>
    <row r="378" spans="1:23">
      <c r="A378"/>
      <c r="B378" t="s">
        <v>70</v>
      </c>
      <c r="C378" t="s">
        <v>70</v>
      </c>
      <c r="D378" t="s">
        <v>33</v>
      </c>
      <c r="E378" t="s">
        <v>34</v>
      </c>
      <c r="F378" t="str">
        <f>"0014024"</f>
        <v>0014024</v>
      </c>
      <c r="G378">
        <v>1</v>
      </c>
      <c r="H378" t="str">
        <f>"00000001"</f>
        <v>00000001</v>
      </c>
      <c r="I378" t="s">
        <v>35</v>
      </c>
      <c r="J378"/>
      <c r="K378">
        <v>8.47</v>
      </c>
      <c r="L378">
        <v>0.0</v>
      </c>
      <c r="M378"/>
      <c r="N378"/>
      <c r="O378">
        <v>1.53</v>
      </c>
      <c r="P378">
        <v>0.0</v>
      </c>
      <c r="Q378">
        <v>10.0</v>
      </c>
      <c r="R378"/>
      <c r="S378"/>
      <c r="T378"/>
      <c r="U378"/>
      <c r="V378"/>
      <c r="W378">
        <v>18</v>
      </c>
    </row>
    <row r="379" spans="1:23">
      <c r="A379"/>
      <c r="B379" t="s">
        <v>70</v>
      </c>
      <c r="C379" t="s">
        <v>70</v>
      </c>
      <c r="D379" t="s">
        <v>33</v>
      </c>
      <c r="E379" t="s">
        <v>34</v>
      </c>
      <c r="F379" t="str">
        <f>"0014025"</f>
        <v>0014025</v>
      </c>
      <c r="G379">
        <v>1</v>
      </c>
      <c r="H379" t="str">
        <f>"00000001"</f>
        <v>00000001</v>
      </c>
      <c r="I379" t="s">
        <v>35</v>
      </c>
      <c r="J379"/>
      <c r="K379">
        <v>228.81</v>
      </c>
      <c r="L379">
        <v>0.0</v>
      </c>
      <c r="M379"/>
      <c r="N379"/>
      <c r="O379">
        <v>41.19</v>
      </c>
      <c r="P379">
        <v>0.0</v>
      </c>
      <c r="Q379">
        <v>270.0</v>
      </c>
      <c r="R379"/>
      <c r="S379"/>
      <c r="T379"/>
      <c r="U379"/>
      <c r="V379"/>
      <c r="W379">
        <v>18</v>
      </c>
    </row>
    <row r="380" spans="1:23">
      <c r="A380"/>
      <c r="B380" t="s">
        <v>70</v>
      </c>
      <c r="C380" t="s">
        <v>70</v>
      </c>
      <c r="D380" t="s">
        <v>33</v>
      </c>
      <c r="E380" t="s">
        <v>34</v>
      </c>
      <c r="F380" t="str">
        <f>"0014026"</f>
        <v>0014026</v>
      </c>
      <c r="G380">
        <v>1</v>
      </c>
      <c r="H380" t="str">
        <f>"00000001"</f>
        <v>00000001</v>
      </c>
      <c r="I380" t="s">
        <v>35</v>
      </c>
      <c r="J380"/>
      <c r="K380">
        <v>16.95</v>
      </c>
      <c r="L380">
        <v>0.0</v>
      </c>
      <c r="M380"/>
      <c r="N380"/>
      <c r="O380">
        <v>3.05</v>
      </c>
      <c r="P380">
        <v>0.0</v>
      </c>
      <c r="Q380">
        <v>20.0</v>
      </c>
      <c r="R380"/>
      <c r="S380"/>
      <c r="T380"/>
      <c r="U380"/>
      <c r="V380"/>
      <c r="W380">
        <v>18</v>
      </c>
    </row>
    <row r="381" spans="1:23">
      <c r="A381"/>
      <c r="B381" t="s">
        <v>70</v>
      </c>
      <c r="C381" t="s">
        <v>70</v>
      </c>
      <c r="D381" t="s">
        <v>33</v>
      </c>
      <c r="E381" t="s">
        <v>34</v>
      </c>
      <c r="F381" t="str">
        <f>"0014027"</f>
        <v>0014027</v>
      </c>
      <c r="G381">
        <v>1</v>
      </c>
      <c r="H381" t="str">
        <f>"00000001"</f>
        <v>00000001</v>
      </c>
      <c r="I381" t="s">
        <v>35</v>
      </c>
      <c r="J381"/>
      <c r="K381">
        <v>4.24</v>
      </c>
      <c r="L381">
        <v>0.0</v>
      </c>
      <c r="M381"/>
      <c r="N381"/>
      <c r="O381">
        <v>0.76</v>
      </c>
      <c r="P381">
        <v>0.0</v>
      </c>
      <c r="Q381">
        <v>5.0</v>
      </c>
      <c r="R381"/>
      <c r="S381"/>
      <c r="T381"/>
      <c r="U381"/>
      <c r="V381"/>
      <c r="W381">
        <v>18</v>
      </c>
    </row>
    <row r="382" spans="1:23">
      <c r="A382"/>
      <c r="B382" t="s">
        <v>70</v>
      </c>
      <c r="C382" t="s">
        <v>70</v>
      </c>
      <c r="D382" t="s">
        <v>33</v>
      </c>
      <c r="E382" t="s">
        <v>34</v>
      </c>
      <c r="F382" t="str">
        <f>"0014028"</f>
        <v>0014028</v>
      </c>
      <c r="G382">
        <v>1</v>
      </c>
      <c r="H382" t="str">
        <f>"00000001"</f>
        <v>00000001</v>
      </c>
      <c r="I382" t="s">
        <v>35</v>
      </c>
      <c r="J382"/>
      <c r="K382">
        <v>4.24</v>
      </c>
      <c r="L382">
        <v>0.0</v>
      </c>
      <c r="M382"/>
      <c r="N382"/>
      <c r="O382">
        <v>0.76</v>
      </c>
      <c r="P382">
        <v>0.0</v>
      </c>
      <c r="Q382">
        <v>5.0</v>
      </c>
      <c r="R382"/>
      <c r="S382"/>
      <c r="T382"/>
      <c r="U382"/>
      <c r="V382"/>
      <c r="W382">
        <v>18</v>
      </c>
    </row>
    <row r="383" spans="1:23">
      <c r="A383"/>
      <c r="B383" t="s">
        <v>70</v>
      </c>
      <c r="C383" t="s">
        <v>70</v>
      </c>
      <c r="D383" t="s">
        <v>33</v>
      </c>
      <c r="E383" t="s">
        <v>34</v>
      </c>
      <c r="F383" t="str">
        <f>"0014029"</f>
        <v>0014029</v>
      </c>
      <c r="G383">
        <v>1</v>
      </c>
      <c r="H383" t="str">
        <f>"70658712"</f>
        <v>70658712</v>
      </c>
      <c r="I383" t="s">
        <v>50</v>
      </c>
      <c r="J383"/>
      <c r="K383">
        <v>21.19</v>
      </c>
      <c r="L383">
        <v>0.0</v>
      </c>
      <c r="M383"/>
      <c r="N383"/>
      <c r="O383">
        <v>3.81</v>
      </c>
      <c r="P383">
        <v>0.0</v>
      </c>
      <c r="Q383">
        <v>25.0</v>
      </c>
      <c r="R383"/>
      <c r="S383"/>
      <c r="T383"/>
      <c r="U383"/>
      <c r="V383"/>
      <c r="W383">
        <v>18</v>
      </c>
    </row>
    <row r="384" spans="1:23">
      <c r="A384"/>
      <c r="B384" t="s">
        <v>70</v>
      </c>
      <c r="C384" t="s">
        <v>70</v>
      </c>
      <c r="D384" t="s">
        <v>33</v>
      </c>
      <c r="E384" t="s">
        <v>34</v>
      </c>
      <c r="F384" t="str">
        <f>"0014030"</f>
        <v>0014030</v>
      </c>
      <c r="G384">
        <v>1</v>
      </c>
      <c r="H384" t="str">
        <f>"00000001"</f>
        <v>00000001</v>
      </c>
      <c r="I384" t="s">
        <v>35</v>
      </c>
      <c r="J384"/>
      <c r="K384">
        <v>14.41</v>
      </c>
      <c r="L384">
        <v>0.0</v>
      </c>
      <c r="M384"/>
      <c r="N384"/>
      <c r="O384">
        <v>2.59</v>
      </c>
      <c r="P384">
        <v>0.0</v>
      </c>
      <c r="Q384">
        <v>17.0</v>
      </c>
      <c r="R384"/>
      <c r="S384"/>
      <c r="T384"/>
      <c r="U384"/>
      <c r="V384"/>
      <c r="W384">
        <v>18</v>
      </c>
    </row>
    <row r="385" spans="1:23">
      <c r="A385"/>
      <c r="B385" t="s">
        <v>70</v>
      </c>
      <c r="C385" t="s">
        <v>70</v>
      </c>
      <c r="D385" t="s">
        <v>33</v>
      </c>
      <c r="E385" t="s">
        <v>34</v>
      </c>
      <c r="F385" t="str">
        <f>"0014031"</f>
        <v>0014031</v>
      </c>
      <c r="G385">
        <v>1</v>
      </c>
      <c r="H385" t="str">
        <f>"00000001"</f>
        <v>00000001</v>
      </c>
      <c r="I385" t="s">
        <v>35</v>
      </c>
      <c r="J385"/>
      <c r="K385">
        <v>3.39</v>
      </c>
      <c r="L385">
        <v>0.0</v>
      </c>
      <c r="M385"/>
      <c r="N385"/>
      <c r="O385">
        <v>0.61</v>
      </c>
      <c r="P385">
        <v>0.0</v>
      </c>
      <c r="Q385">
        <v>4.0</v>
      </c>
      <c r="R385"/>
      <c r="S385"/>
      <c r="T385"/>
      <c r="U385"/>
      <c r="V385"/>
      <c r="W385">
        <v>18</v>
      </c>
    </row>
    <row r="386" spans="1:23">
      <c r="A386"/>
      <c r="B386" t="s">
        <v>70</v>
      </c>
      <c r="C386" t="s">
        <v>70</v>
      </c>
      <c r="D386" t="s">
        <v>33</v>
      </c>
      <c r="E386" t="s">
        <v>34</v>
      </c>
      <c r="F386" t="str">
        <f>"0014032"</f>
        <v>0014032</v>
      </c>
      <c r="G386">
        <v>1</v>
      </c>
      <c r="H386" t="str">
        <f>"00000001"</f>
        <v>00000001</v>
      </c>
      <c r="I386" t="s">
        <v>35</v>
      </c>
      <c r="J386"/>
      <c r="K386">
        <v>12.71</v>
      </c>
      <c r="L386">
        <v>0.0</v>
      </c>
      <c r="M386"/>
      <c r="N386"/>
      <c r="O386">
        <v>2.29</v>
      </c>
      <c r="P386">
        <v>0.0</v>
      </c>
      <c r="Q386">
        <v>15.0</v>
      </c>
      <c r="R386"/>
      <c r="S386"/>
      <c r="T386"/>
      <c r="U386"/>
      <c r="V386"/>
      <c r="W386">
        <v>18</v>
      </c>
    </row>
    <row r="387" spans="1:23">
      <c r="A387"/>
      <c r="B387" t="s">
        <v>70</v>
      </c>
      <c r="C387" t="s">
        <v>70</v>
      </c>
      <c r="D387" t="s">
        <v>40</v>
      </c>
      <c r="E387" t="s">
        <v>41</v>
      </c>
      <c r="F387" t="str">
        <f>"0001268"</f>
        <v>0001268</v>
      </c>
      <c r="G387">
        <v>6</v>
      </c>
      <c r="H387" t="str">
        <f>"20613539116"</f>
        <v>20613539116</v>
      </c>
      <c r="I387" t="s">
        <v>54</v>
      </c>
      <c r="J387"/>
      <c r="K387">
        <v>38.14</v>
      </c>
      <c r="L387">
        <v>0.0</v>
      </c>
      <c r="M387"/>
      <c r="N387"/>
      <c r="O387">
        <v>6.86</v>
      </c>
      <c r="P387">
        <v>0.0</v>
      </c>
      <c r="Q387">
        <v>45.0</v>
      </c>
      <c r="R387"/>
      <c r="S387"/>
      <c r="T387"/>
      <c r="U387"/>
      <c r="V387"/>
      <c r="W387">
        <v>18</v>
      </c>
    </row>
    <row r="388" spans="1:23">
      <c r="A388"/>
      <c r="B388" t="s">
        <v>70</v>
      </c>
      <c r="C388" t="s">
        <v>70</v>
      </c>
      <c r="D388" t="s">
        <v>33</v>
      </c>
      <c r="E388" t="s">
        <v>34</v>
      </c>
      <c r="F388" t="str">
        <f>"0014033"</f>
        <v>0014033</v>
      </c>
      <c r="G388">
        <v>1</v>
      </c>
      <c r="H388" t="str">
        <f>"00000001"</f>
        <v>00000001</v>
      </c>
      <c r="I388" t="s">
        <v>35</v>
      </c>
      <c r="J388"/>
      <c r="K388">
        <v>10.17</v>
      </c>
      <c r="L388">
        <v>0.0</v>
      </c>
      <c r="M388"/>
      <c r="N388"/>
      <c r="O388">
        <v>1.83</v>
      </c>
      <c r="P388">
        <v>0.0</v>
      </c>
      <c r="Q388">
        <v>12.0</v>
      </c>
      <c r="R388"/>
      <c r="S388"/>
      <c r="T388"/>
      <c r="U388"/>
      <c r="V388"/>
      <c r="W388">
        <v>18</v>
      </c>
    </row>
    <row r="389" spans="1:23">
      <c r="A389"/>
      <c r="B389" t="s">
        <v>70</v>
      </c>
      <c r="C389" t="s">
        <v>70</v>
      </c>
      <c r="D389" t="s">
        <v>33</v>
      </c>
      <c r="E389" t="s">
        <v>34</v>
      </c>
      <c r="F389" t="str">
        <f>"0014034"</f>
        <v>0014034</v>
      </c>
      <c r="G389">
        <v>1</v>
      </c>
      <c r="H389" t="str">
        <f>"00000001"</f>
        <v>00000001</v>
      </c>
      <c r="I389" t="s">
        <v>35</v>
      </c>
      <c r="J389"/>
      <c r="K389">
        <v>67.8</v>
      </c>
      <c r="L389">
        <v>0.0</v>
      </c>
      <c r="M389"/>
      <c r="N389"/>
      <c r="O389">
        <v>12.2</v>
      </c>
      <c r="P389">
        <v>0.0</v>
      </c>
      <c r="Q389">
        <v>80.0</v>
      </c>
      <c r="R389"/>
      <c r="S389"/>
      <c r="T389"/>
      <c r="U389"/>
      <c r="V389"/>
      <c r="W389">
        <v>18</v>
      </c>
    </row>
    <row r="390" spans="1:23">
      <c r="A390"/>
      <c r="B390" t="s">
        <v>70</v>
      </c>
      <c r="C390" t="s">
        <v>70</v>
      </c>
      <c r="D390" t="s">
        <v>33</v>
      </c>
      <c r="E390" t="s">
        <v>34</v>
      </c>
      <c r="F390" t="str">
        <f>"0014035"</f>
        <v>0014035</v>
      </c>
      <c r="G390">
        <v>1</v>
      </c>
      <c r="H390" t="str">
        <f>"00000001"</f>
        <v>00000001</v>
      </c>
      <c r="I390" t="s">
        <v>35</v>
      </c>
      <c r="J390"/>
      <c r="K390">
        <v>6.78</v>
      </c>
      <c r="L390">
        <v>0.0</v>
      </c>
      <c r="M390"/>
      <c r="N390"/>
      <c r="O390">
        <v>1.22</v>
      </c>
      <c r="P390">
        <v>0.0</v>
      </c>
      <c r="Q390">
        <v>8.0</v>
      </c>
      <c r="R390"/>
      <c r="S390"/>
      <c r="T390"/>
      <c r="U390"/>
      <c r="V390"/>
      <c r="W390">
        <v>18</v>
      </c>
    </row>
    <row r="391" spans="1:23">
      <c r="A391"/>
      <c r="B391" t="s">
        <v>70</v>
      </c>
      <c r="C391" t="s">
        <v>70</v>
      </c>
      <c r="D391" t="s">
        <v>33</v>
      </c>
      <c r="E391" t="s">
        <v>34</v>
      </c>
      <c r="F391" t="str">
        <f>"0014036"</f>
        <v>0014036</v>
      </c>
      <c r="G391">
        <v>1</v>
      </c>
      <c r="H391" t="str">
        <f>"00000001"</f>
        <v>00000001</v>
      </c>
      <c r="I391" t="s">
        <v>35</v>
      </c>
      <c r="J391"/>
      <c r="K391">
        <v>8.47</v>
      </c>
      <c r="L391">
        <v>0.0</v>
      </c>
      <c r="M391"/>
      <c r="N391"/>
      <c r="O391">
        <v>1.53</v>
      </c>
      <c r="P391">
        <v>0.0</v>
      </c>
      <c r="Q391">
        <v>10.0</v>
      </c>
      <c r="R391"/>
      <c r="S391"/>
      <c r="T391"/>
      <c r="U391"/>
      <c r="V391"/>
      <c r="W391">
        <v>18</v>
      </c>
    </row>
    <row r="392" spans="1:23">
      <c r="A392"/>
      <c r="B392" t="s">
        <v>70</v>
      </c>
      <c r="C392" t="s">
        <v>70</v>
      </c>
      <c r="D392" t="s">
        <v>33</v>
      </c>
      <c r="E392" t="s">
        <v>34</v>
      </c>
      <c r="F392" t="str">
        <f>"0014037"</f>
        <v>0014037</v>
      </c>
      <c r="G392">
        <v>1</v>
      </c>
      <c r="H392" t="str">
        <f>"00000001"</f>
        <v>00000001</v>
      </c>
      <c r="I392" t="s">
        <v>35</v>
      </c>
      <c r="J392"/>
      <c r="K392">
        <v>15.25</v>
      </c>
      <c r="L392">
        <v>0.0</v>
      </c>
      <c r="M392"/>
      <c r="N392"/>
      <c r="O392">
        <v>2.75</v>
      </c>
      <c r="P392">
        <v>0.0</v>
      </c>
      <c r="Q392">
        <v>18.0</v>
      </c>
      <c r="R392"/>
      <c r="S392"/>
      <c r="T392"/>
      <c r="U392"/>
      <c r="V392"/>
      <c r="W392">
        <v>18</v>
      </c>
    </row>
    <row r="393" spans="1:23">
      <c r="A393"/>
      <c r="B393" t="s">
        <v>70</v>
      </c>
      <c r="C393" t="s">
        <v>70</v>
      </c>
      <c r="D393" t="s">
        <v>33</v>
      </c>
      <c r="E393" t="s">
        <v>34</v>
      </c>
      <c r="F393" t="str">
        <f>"0014038"</f>
        <v>0014038</v>
      </c>
      <c r="G393">
        <v>1</v>
      </c>
      <c r="H393" t="str">
        <f>"00000001"</f>
        <v>00000001</v>
      </c>
      <c r="I393" t="s">
        <v>35</v>
      </c>
      <c r="J393"/>
      <c r="K393">
        <v>8.47</v>
      </c>
      <c r="L393">
        <v>0.0</v>
      </c>
      <c r="M393"/>
      <c r="N393"/>
      <c r="O393">
        <v>1.53</v>
      </c>
      <c r="P393">
        <v>0.0</v>
      </c>
      <c r="Q393">
        <v>10.0</v>
      </c>
      <c r="R393"/>
      <c r="S393"/>
      <c r="T393"/>
      <c r="U393"/>
      <c r="V393"/>
      <c r="W393">
        <v>18</v>
      </c>
    </row>
    <row r="394" spans="1:23">
      <c r="A394"/>
      <c r="B394" t="s">
        <v>70</v>
      </c>
      <c r="C394" t="s">
        <v>70</v>
      </c>
      <c r="D394" t="s">
        <v>33</v>
      </c>
      <c r="E394" t="s">
        <v>34</v>
      </c>
      <c r="F394" t="str">
        <f>"0014039"</f>
        <v>0014039</v>
      </c>
      <c r="G394">
        <v>1</v>
      </c>
      <c r="H394" t="str">
        <f>"00000001"</f>
        <v>00000001</v>
      </c>
      <c r="I394" t="s">
        <v>35</v>
      </c>
      <c r="J394"/>
      <c r="K394">
        <v>6.78</v>
      </c>
      <c r="L394">
        <v>0.0</v>
      </c>
      <c r="M394"/>
      <c r="N394"/>
      <c r="O394">
        <v>1.22</v>
      </c>
      <c r="P394">
        <v>0.0</v>
      </c>
      <c r="Q394">
        <v>8.0</v>
      </c>
      <c r="R394"/>
      <c r="S394"/>
      <c r="T394"/>
      <c r="U394"/>
      <c r="V394"/>
      <c r="W394">
        <v>18</v>
      </c>
    </row>
    <row r="395" spans="1:23">
      <c r="A395"/>
      <c r="B395" t="s">
        <v>70</v>
      </c>
      <c r="C395" t="s">
        <v>70</v>
      </c>
      <c r="D395" t="s">
        <v>33</v>
      </c>
      <c r="E395" t="s">
        <v>34</v>
      </c>
      <c r="F395" t="str">
        <f>"0014040"</f>
        <v>0014040</v>
      </c>
      <c r="G395">
        <v>1</v>
      </c>
      <c r="H395" t="str">
        <f>"00000001"</f>
        <v>00000001</v>
      </c>
      <c r="I395" t="s">
        <v>35</v>
      </c>
      <c r="J395"/>
      <c r="K395">
        <v>12.71</v>
      </c>
      <c r="L395">
        <v>0.0</v>
      </c>
      <c r="M395"/>
      <c r="N395"/>
      <c r="O395">
        <v>2.29</v>
      </c>
      <c r="P395">
        <v>0.0</v>
      </c>
      <c r="Q395">
        <v>15.0</v>
      </c>
      <c r="R395"/>
      <c r="S395"/>
      <c r="T395"/>
      <c r="U395"/>
      <c r="V395"/>
      <c r="W395">
        <v>18</v>
      </c>
    </row>
    <row r="396" spans="1:23">
      <c r="A396"/>
      <c r="B396" t="s">
        <v>70</v>
      </c>
      <c r="C396" t="s">
        <v>70</v>
      </c>
      <c r="D396" t="s">
        <v>33</v>
      </c>
      <c r="E396" t="s">
        <v>34</v>
      </c>
      <c r="F396" t="str">
        <f>"0014041"</f>
        <v>0014041</v>
      </c>
      <c r="G396">
        <v>1</v>
      </c>
      <c r="H396" t="str">
        <f>"00000001"</f>
        <v>00000001</v>
      </c>
      <c r="I396" t="s">
        <v>35</v>
      </c>
      <c r="J396"/>
      <c r="K396">
        <v>20.34</v>
      </c>
      <c r="L396">
        <v>0.0</v>
      </c>
      <c r="M396"/>
      <c r="N396"/>
      <c r="O396">
        <v>3.66</v>
      </c>
      <c r="P396">
        <v>0.0</v>
      </c>
      <c r="Q396">
        <v>24.0</v>
      </c>
      <c r="R396"/>
      <c r="S396"/>
      <c r="T396"/>
      <c r="U396"/>
      <c r="V396"/>
      <c r="W396">
        <v>18</v>
      </c>
    </row>
    <row r="397" spans="1:23">
      <c r="A397"/>
      <c r="B397" t="s">
        <v>70</v>
      </c>
      <c r="C397" t="s">
        <v>70</v>
      </c>
      <c r="D397" t="s">
        <v>33</v>
      </c>
      <c r="E397" t="s">
        <v>34</v>
      </c>
      <c r="F397" t="str">
        <f>"0014042"</f>
        <v>0014042</v>
      </c>
      <c r="G397">
        <v>1</v>
      </c>
      <c r="H397" t="str">
        <f>"00000001"</f>
        <v>00000001</v>
      </c>
      <c r="I397" t="s">
        <v>35</v>
      </c>
      <c r="J397"/>
      <c r="K397">
        <v>6.78</v>
      </c>
      <c r="L397">
        <v>0.0</v>
      </c>
      <c r="M397"/>
      <c r="N397"/>
      <c r="O397">
        <v>1.22</v>
      </c>
      <c r="P397">
        <v>0.0</v>
      </c>
      <c r="Q397">
        <v>8.0</v>
      </c>
      <c r="R397"/>
      <c r="S397"/>
      <c r="T397"/>
      <c r="U397"/>
      <c r="V397"/>
      <c r="W397">
        <v>18</v>
      </c>
    </row>
    <row r="398" spans="1:23">
      <c r="A398"/>
      <c r="B398" t="s">
        <v>70</v>
      </c>
      <c r="C398" t="s">
        <v>70</v>
      </c>
      <c r="D398" t="s">
        <v>33</v>
      </c>
      <c r="E398" t="s">
        <v>34</v>
      </c>
      <c r="F398" t="str">
        <f>"0014043"</f>
        <v>0014043</v>
      </c>
      <c r="G398">
        <v>1</v>
      </c>
      <c r="H398" t="str">
        <f>"00000001"</f>
        <v>00000001</v>
      </c>
      <c r="I398" t="s">
        <v>35</v>
      </c>
      <c r="J398"/>
      <c r="K398">
        <v>33.9</v>
      </c>
      <c r="L398">
        <v>0.0</v>
      </c>
      <c r="M398"/>
      <c r="N398"/>
      <c r="O398">
        <v>6.1</v>
      </c>
      <c r="P398">
        <v>0.0</v>
      </c>
      <c r="Q398">
        <v>40.0</v>
      </c>
      <c r="R398"/>
      <c r="S398"/>
      <c r="T398"/>
      <c r="U398"/>
      <c r="V398"/>
      <c r="W398">
        <v>18</v>
      </c>
    </row>
    <row r="399" spans="1:23">
      <c r="A399"/>
      <c r="B399" t="s">
        <v>70</v>
      </c>
      <c r="C399" t="s">
        <v>70</v>
      </c>
      <c r="D399" t="s">
        <v>33</v>
      </c>
      <c r="E399" t="s">
        <v>34</v>
      </c>
      <c r="F399" t="str">
        <f>"0014044"</f>
        <v>0014044</v>
      </c>
      <c r="G399">
        <v>1</v>
      </c>
      <c r="H399" t="str">
        <f>"00000001"</f>
        <v>00000001</v>
      </c>
      <c r="I399" t="s">
        <v>35</v>
      </c>
      <c r="J399"/>
      <c r="K399">
        <v>4.24</v>
      </c>
      <c r="L399">
        <v>0.0</v>
      </c>
      <c r="M399"/>
      <c r="N399"/>
      <c r="O399">
        <v>0.76</v>
      </c>
      <c r="P399">
        <v>0.0</v>
      </c>
      <c r="Q399">
        <v>5.0</v>
      </c>
      <c r="R399"/>
      <c r="S399"/>
      <c r="T399"/>
      <c r="U399"/>
      <c r="V399"/>
      <c r="W399">
        <v>18</v>
      </c>
    </row>
    <row r="400" spans="1:23">
      <c r="A400"/>
      <c r="B400" t="s">
        <v>70</v>
      </c>
      <c r="C400" t="s">
        <v>70</v>
      </c>
      <c r="D400" t="s">
        <v>33</v>
      </c>
      <c r="E400" t="s">
        <v>34</v>
      </c>
      <c r="F400" t="str">
        <f>"0014045"</f>
        <v>0014045</v>
      </c>
      <c r="G400">
        <v>1</v>
      </c>
      <c r="H400" t="str">
        <f>"00000001"</f>
        <v>00000001</v>
      </c>
      <c r="I400" t="s">
        <v>35</v>
      </c>
      <c r="J400"/>
      <c r="K400">
        <v>19.49</v>
      </c>
      <c r="L400">
        <v>0.0</v>
      </c>
      <c r="M400"/>
      <c r="N400"/>
      <c r="O400">
        <v>3.51</v>
      </c>
      <c r="P400">
        <v>0.0</v>
      </c>
      <c r="Q400">
        <v>23.0</v>
      </c>
      <c r="R400"/>
      <c r="S400"/>
      <c r="T400"/>
      <c r="U400"/>
      <c r="V400"/>
      <c r="W400">
        <v>18</v>
      </c>
    </row>
    <row r="401" spans="1:23">
      <c r="A401"/>
      <c r="B401" t="s">
        <v>70</v>
      </c>
      <c r="C401" t="s">
        <v>70</v>
      </c>
      <c r="D401" t="s">
        <v>33</v>
      </c>
      <c r="E401" t="s">
        <v>34</v>
      </c>
      <c r="F401" t="str">
        <f>"0014046"</f>
        <v>0014046</v>
      </c>
      <c r="G401">
        <v>1</v>
      </c>
      <c r="H401" t="str">
        <f>"00000001"</f>
        <v>00000001</v>
      </c>
      <c r="I401" t="s">
        <v>35</v>
      </c>
      <c r="J401"/>
      <c r="K401">
        <v>9.75</v>
      </c>
      <c r="L401">
        <v>0.0</v>
      </c>
      <c r="M401"/>
      <c r="N401"/>
      <c r="O401">
        <v>1.75</v>
      </c>
      <c r="P401">
        <v>0.0</v>
      </c>
      <c r="Q401">
        <v>11.5</v>
      </c>
      <c r="R401"/>
      <c r="S401"/>
      <c r="T401"/>
      <c r="U401"/>
      <c r="V401"/>
      <c r="W401">
        <v>18</v>
      </c>
    </row>
    <row r="402" spans="1:23">
      <c r="A402"/>
      <c r="B402" t="s">
        <v>70</v>
      </c>
      <c r="C402" t="s">
        <v>70</v>
      </c>
      <c r="D402" t="s">
        <v>33</v>
      </c>
      <c r="E402" t="s">
        <v>34</v>
      </c>
      <c r="F402" t="str">
        <f>"0014047"</f>
        <v>0014047</v>
      </c>
      <c r="G402">
        <v>1</v>
      </c>
      <c r="H402" t="str">
        <f>"00000001"</f>
        <v>00000001</v>
      </c>
      <c r="I402" t="s">
        <v>35</v>
      </c>
      <c r="J402"/>
      <c r="K402">
        <v>8.47</v>
      </c>
      <c r="L402">
        <v>0.0</v>
      </c>
      <c r="M402"/>
      <c r="N402"/>
      <c r="O402">
        <v>1.53</v>
      </c>
      <c r="P402">
        <v>0.0</v>
      </c>
      <c r="Q402">
        <v>10.0</v>
      </c>
      <c r="R402"/>
      <c r="S402"/>
      <c r="T402"/>
      <c r="U402"/>
      <c r="V402"/>
      <c r="W402">
        <v>18</v>
      </c>
    </row>
    <row r="403" spans="1:23">
      <c r="A403"/>
      <c r="B403" t="s">
        <v>70</v>
      </c>
      <c r="C403" t="s">
        <v>70</v>
      </c>
      <c r="D403" t="s">
        <v>33</v>
      </c>
      <c r="E403" t="s">
        <v>34</v>
      </c>
      <c r="F403" t="str">
        <f>"0014048"</f>
        <v>0014048</v>
      </c>
      <c r="G403">
        <v>1</v>
      </c>
      <c r="H403" t="str">
        <f>"00000001"</f>
        <v>00000001</v>
      </c>
      <c r="I403" t="s">
        <v>35</v>
      </c>
      <c r="J403"/>
      <c r="K403">
        <v>6.78</v>
      </c>
      <c r="L403">
        <v>0.0</v>
      </c>
      <c r="M403"/>
      <c r="N403"/>
      <c r="O403">
        <v>1.22</v>
      </c>
      <c r="P403">
        <v>0.0</v>
      </c>
      <c r="Q403">
        <v>8.0</v>
      </c>
      <c r="R403"/>
      <c r="S403"/>
      <c r="T403"/>
      <c r="U403"/>
      <c r="V403"/>
      <c r="W403">
        <v>18</v>
      </c>
    </row>
    <row r="404" spans="1:23">
      <c r="A404"/>
      <c r="B404" t="s">
        <v>70</v>
      </c>
      <c r="C404" t="s">
        <v>70</v>
      </c>
      <c r="D404" t="s">
        <v>33</v>
      </c>
      <c r="E404" t="s">
        <v>34</v>
      </c>
      <c r="F404" t="str">
        <f>"0014049"</f>
        <v>0014049</v>
      </c>
      <c r="G404">
        <v>1</v>
      </c>
      <c r="H404" t="str">
        <f>"00000001"</f>
        <v>00000001</v>
      </c>
      <c r="I404" t="s">
        <v>35</v>
      </c>
      <c r="J404"/>
      <c r="K404">
        <v>7.63</v>
      </c>
      <c r="L404">
        <v>0.0</v>
      </c>
      <c r="M404"/>
      <c r="N404"/>
      <c r="O404">
        <v>1.37</v>
      </c>
      <c r="P404">
        <v>0.0</v>
      </c>
      <c r="Q404">
        <v>9.0</v>
      </c>
      <c r="R404"/>
      <c r="S404"/>
      <c r="T404"/>
      <c r="U404"/>
      <c r="V404"/>
      <c r="W404">
        <v>18</v>
      </c>
    </row>
    <row r="405" spans="1:23">
      <c r="A405"/>
      <c r="B405" t="s">
        <v>70</v>
      </c>
      <c r="C405" t="s">
        <v>70</v>
      </c>
      <c r="D405" t="s">
        <v>33</v>
      </c>
      <c r="E405" t="s">
        <v>34</v>
      </c>
      <c r="F405" t="str">
        <f>"0014050"</f>
        <v>0014050</v>
      </c>
      <c r="G405">
        <v>1</v>
      </c>
      <c r="H405" t="str">
        <f>"00000001"</f>
        <v>00000001</v>
      </c>
      <c r="I405" t="s">
        <v>35</v>
      </c>
      <c r="J405"/>
      <c r="K405">
        <v>12.29</v>
      </c>
      <c r="L405">
        <v>0.0</v>
      </c>
      <c r="M405"/>
      <c r="N405"/>
      <c r="O405">
        <v>2.21</v>
      </c>
      <c r="P405">
        <v>0.0</v>
      </c>
      <c r="Q405">
        <v>14.5</v>
      </c>
      <c r="R405"/>
      <c r="S405"/>
      <c r="T405"/>
      <c r="U405"/>
      <c r="V405"/>
      <c r="W405">
        <v>18</v>
      </c>
    </row>
    <row r="406" spans="1:23">
      <c r="A406"/>
      <c r="B406" t="s">
        <v>70</v>
      </c>
      <c r="C406" t="s">
        <v>70</v>
      </c>
      <c r="D406" t="s">
        <v>33</v>
      </c>
      <c r="E406" t="s">
        <v>34</v>
      </c>
      <c r="F406" t="str">
        <f>"0014051"</f>
        <v>0014051</v>
      </c>
      <c r="G406">
        <v>1</v>
      </c>
      <c r="H406" t="str">
        <f>"00000001"</f>
        <v>00000001</v>
      </c>
      <c r="I406" t="s">
        <v>35</v>
      </c>
      <c r="J406"/>
      <c r="K406">
        <v>8.47</v>
      </c>
      <c r="L406">
        <v>0.0</v>
      </c>
      <c r="M406"/>
      <c r="N406"/>
      <c r="O406">
        <v>1.53</v>
      </c>
      <c r="P406">
        <v>0.0</v>
      </c>
      <c r="Q406">
        <v>10.0</v>
      </c>
      <c r="R406"/>
      <c r="S406"/>
      <c r="T406"/>
      <c r="U406"/>
      <c r="V406"/>
      <c r="W406">
        <v>18</v>
      </c>
    </row>
    <row r="407" spans="1:23">
      <c r="A407"/>
      <c r="B407" t="s">
        <v>70</v>
      </c>
      <c r="C407" t="s">
        <v>70</v>
      </c>
      <c r="D407" t="s">
        <v>33</v>
      </c>
      <c r="E407" t="s">
        <v>34</v>
      </c>
      <c r="F407" t="str">
        <f>"0014052"</f>
        <v>0014052</v>
      </c>
      <c r="G407">
        <v>1</v>
      </c>
      <c r="H407" t="str">
        <f>"00000001"</f>
        <v>00000001</v>
      </c>
      <c r="I407" t="s">
        <v>35</v>
      </c>
      <c r="J407"/>
      <c r="K407">
        <v>38.14</v>
      </c>
      <c r="L407">
        <v>0.0</v>
      </c>
      <c r="M407"/>
      <c r="N407"/>
      <c r="O407">
        <v>6.86</v>
      </c>
      <c r="P407">
        <v>0.0</v>
      </c>
      <c r="Q407">
        <v>45.0</v>
      </c>
      <c r="R407"/>
      <c r="S407"/>
      <c r="T407"/>
      <c r="U407"/>
      <c r="V407"/>
      <c r="W407">
        <v>18</v>
      </c>
    </row>
    <row r="408" spans="1:23">
      <c r="A408"/>
      <c r="B408" t="s">
        <v>70</v>
      </c>
      <c r="C408" t="s">
        <v>70</v>
      </c>
      <c r="D408" t="s">
        <v>33</v>
      </c>
      <c r="E408" t="s">
        <v>34</v>
      </c>
      <c r="F408" t="str">
        <f>"0014053"</f>
        <v>0014053</v>
      </c>
      <c r="G408">
        <v>1</v>
      </c>
      <c r="H408" t="str">
        <f>"00000001"</f>
        <v>00000001</v>
      </c>
      <c r="I408" t="s">
        <v>35</v>
      </c>
      <c r="J408"/>
      <c r="K408">
        <v>33.9</v>
      </c>
      <c r="L408">
        <v>0.0</v>
      </c>
      <c r="M408"/>
      <c r="N408"/>
      <c r="O408">
        <v>6.1</v>
      </c>
      <c r="P408">
        <v>0.0</v>
      </c>
      <c r="Q408">
        <v>40.0</v>
      </c>
      <c r="R408"/>
      <c r="S408"/>
      <c r="T408"/>
      <c r="U408"/>
      <c r="V408"/>
      <c r="W408">
        <v>18</v>
      </c>
    </row>
    <row r="409" spans="1:23">
      <c r="A409"/>
      <c r="B409" t="s">
        <v>70</v>
      </c>
      <c r="C409" t="s">
        <v>70</v>
      </c>
      <c r="D409" t="s">
        <v>33</v>
      </c>
      <c r="E409" t="s">
        <v>34</v>
      </c>
      <c r="F409" t="str">
        <f>"0014054"</f>
        <v>0014054</v>
      </c>
      <c r="G409">
        <v>1</v>
      </c>
      <c r="H409" t="str">
        <f>"27574189"</f>
        <v>27574189</v>
      </c>
      <c r="I409" t="s">
        <v>72</v>
      </c>
      <c r="J409"/>
      <c r="K409">
        <v>33.9</v>
      </c>
      <c r="L409">
        <v>0.0</v>
      </c>
      <c r="M409"/>
      <c r="N409"/>
      <c r="O409">
        <v>6.1</v>
      </c>
      <c r="P409">
        <v>0.0</v>
      </c>
      <c r="Q409">
        <v>40.0</v>
      </c>
      <c r="R409"/>
      <c r="S409"/>
      <c r="T409"/>
      <c r="U409"/>
      <c r="V409"/>
      <c r="W409">
        <v>18</v>
      </c>
    </row>
    <row r="410" spans="1:23">
      <c r="A410"/>
      <c r="B410" t="s">
        <v>70</v>
      </c>
      <c r="C410" t="s">
        <v>70</v>
      </c>
      <c r="D410" t="s">
        <v>33</v>
      </c>
      <c r="E410" t="s">
        <v>34</v>
      </c>
      <c r="F410" t="str">
        <f>"0014055"</f>
        <v>0014055</v>
      </c>
      <c r="G410">
        <v>1</v>
      </c>
      <c r="H410" t="str">
        <f>"00000001"</f>
        <v>00000001</v>
      </c>
      <c r="I410" t="s">
        <v>35</v>
      </c>
      <c r="J410"/>
      <c r="K410">
        <v>11.86</v>
      </c>
      <c r="L410">
        <v>0.0</v>
      </c>
      <c r="M410"/>
      <c r="N410"/>
      <c r="O410">
        <v>2.14</v>
      </c>
      <c r="P410">
        <v>0.0</v>
      </c>
      <c r="Q410">
        <v>14.0</v>
      </c>
      <c r="R410"/>
      <c r="S410"/>
      <c r="T410"/>
      <c r="U410"/>
      <c r="V410"/>
      <c r="W410">
        <v>18</v>
      </c>
    </row>
    <row r="411" spans="1:23">
      <c r="A411"/>
      <c r="B411" t="s">
        <v>70</v>
      </c>
      <c r="C411" t="s">
        <v>70</v>
      </c>
      <c r="D411" t="s">
        <v>33</v>
      </c>
      <c r="E411" t="s">
        <v>34</v>
      </c>
      <c r="F411" t="str">
        <f>"0014056"</f>
        <v>0014056</v>
      </c>
      <c r="G411">
        <v>1</v>
      </c>
      <c r="H411" t="str">
        <f>"00000001"</f>
        <v>00000001</v>
      </c>
      <c r="I411" t="s">
        <v>35</v>
      </c>
      <c r="J411"/>
      <c r="K411">
        <v>4.24</v>
      </c>
      <c r="L411">
        <v>0.0</v>
      </c>
      <c r="M411"/>
      <c r="N411"/>
      <c r="O411">
        <v>0.76</v>
      </c>
      <c r="P411">
        <v>0.0</v>
      </c>
      <c r="Q411">
        <v>5.0</v>
      </c>
      <c r="R411"/>
      <c r="S411"/>
      <c r="T411"/>
      <c r="U411"/>
      <c r="V411"/>
      <c r="W411">
        <v>18</v>
      </c>
    </row>
    <row r="412" spans="1:23">
      <c r="A412"/>
      <c r="B412" t="s">
        <v>70</v>
      </c>
      <c r="C412" t="s">
        <v>70</v>
      </c>
      <c r="D412" t="s">
        <v>33</v>
      </c>
      <c r="E412" t="s">
        <v>34</v>
      </c>
      <c r="F412" t="str">
        <f>"0014057"</f>
        <v>0014057</v>
      </c>
      <c r="G412">
        <v>1</v>
      </c>
      <c r="H412" t="str">
        <f>"00000001"</f>
        <v>00000001</v>
      </c>
      <c r="I412" t="s">
        <v>35</v>
      </c>
      <c r="J412"/>
      <c r="K412">
        <v>15.25</v>
      </c>
      <c r="L412">
        <v>0.0</v>
      </c>
      <c r="M412"/>
      <c r="N412"/>
      <c r="O412">
        <v>2.75</v>
      </c>
      <c r="P412">
        <v>0.0</v>
      </c>
      <c r="Q412">
        <v>18.0</v>
      </c>
      <c r="R412"/>
      <c r="S412"/>
      <c r="T412"/>
      <c r="U412"/>
      <c r="V412"/>
      <c r="W412">
        <v>18</v>
      </c>
    </row>
    <row r="413" spans="1:23">
      <c r="A413"/>
      <c r="B413" t="s">
        <v>70</v>
      </c>
      <c r="C413" t="s">
        <v>70</v>
      </c>
      <c r="D413" t="s">
        <v>33</v>
      </c>
      <c r="E413" t="s">
        <v>34</v>
      </c>
      <c r="F413" t="str">
        <f>"0014058"</f>
        <v>0014058</v>
      </c>
      <c r="G413">
        <v>1</v>
      </c>
      <c r="H413" t="str">
        <f>"00000001"</f>
        <v>00000001</v>
      </c>
      <c r="I413" t="s">
        <v>35</v>
      </c>
      <c r="J413"/>
      <c r="K413">
        <v>6.78</v>
      </c>
      <c r="L413">
        <v>0.0</v>
      </c>
      <c r="M413"/>
      <c r="N413"/>
      <c r="O413">
        <v>1.22</v>
      </c>
      <c r="P413">
        <v>0.0</v>
      </c>
      <c r="Q413">
        <v>8.0</v>
      </c>
      <c r="R413"/>
      <c r="S413"/>
      <c r="T413"/>
      <c r="U413"/>
      <c r="V413"/>
      <c r="W413">
        <v>18</v>
      </c>
    </row>
    <row r="414" spans="1:23">
      <c r="A414"/>
      <c r="B414" t="s">
        <v>70</v>
      </c>
      <c r="C414" t="s">
        <v>70</v>
      </c>
      <c r="D414" t="s">
        <v>33</v>
      </c>
      <c r="E414" t="s">
        <v>34</v>
      </c>
      <c r="F414" t="str">
        <f>"0014059"</f>
        <v>0014059</v>
      </c>
      <c r="G414">
        <v>1</v>
      </c>
      <c r="H414" t="str">
        <f>"00000001"</f>
        <v>00000001</v>
      </c>
      <c r="I414" t="s">
        <v>35</v>
      </c>
      <c r="J414"/>
      <c r="K414">
        <v>4.24</v>
      </c>
      <c r="L414">
        <v>0.0</v>
      </c>
      <c r="M414"/>
      <c r="N414"/>
      <c r="O414">
        <v>0.76</v>
      </c>
      <c r="P414">
        <v>0.0</v>
      </c>
      <c r="Q414">
        <v>5.0</v>
      </c>
      <c r="R414"/>
      <c r="S414"/>
      <c r="T414"/>
      <c r="U414"/>
      <c r="V414"/>
      <c r="W414">
        <v>18</v>
      </c>
    </row>
    <row r="415" spans="1:23">
      <c r="A415"/>
      <c r="B415" t="s">
        <v>70</v>
      </c>
      <c r="C415" t="s">
        <v>70</v>
      </c>
      <c r="D415" t="s">
        <v>33</v>
      </c>
      <c r="E415" t="s">
        <v>34</v>
      </c>
      <c r="F415" t="str">
        <f>"0014060"</f>
        <v>0014060</v>
      </c>
      <c r="G415">
        <v>1</v>
      </c>
      <c r="H415" t="str">
        <f>"00000001"</f>
        <v>00000001</v>
      </c>
      <c r="I415" t="s">
        <v>35</v>
      </c>
      <c r="J415"/>
      <c r="K415">
        <v>8.47</v>
      </c>
      <c r="L415">
        <v>0.0</v>
      </c>
      <c r="M415"/>
      <c r="N415"/>
      <c r="O415">
        <v>1.53</v>
      </c>
      <c r="P415">
        <v>0.0</v>
      </c>
      <c r="Q415">
        <v>10.0</v>
      </c>
      <c r="R415"/>
      <c r="S415"/>
      <c r="T415"/>
      <c r="U415"/>
      <c r="V415"/>
      <c r="W415">
        <v>18</v>
      </c>
    </row>
    <row r="416" spans="1:23">
      <c r="A416"/>
      <c r="B416" t="s">
        <v>70</v>
      </c>
      <c r="C416" t="s">
        <v>70</v>
      </c>
      <c r="D416" t="s">
        <v>33</v>
      </c>
      <c r="E416" t="s">
        <v>34</v>
      </c>
      <c r="F416" t="str">
        <f>"0014061"</f>
        <v>0014061</v>
      </c>
      <c r="G416">
        <v>1</v>
      </c>
      <c r="H416" t="str">
        <f>"00000001"</f>
        <v>00000001</v>
      </c>
      <c r="I416" t="s">
        <v>35</v>
      </c>
      <c r="J416"/>
      <c r="K416">
        <v>33.9</v>
      </c>
      <c r="L416">
        <v>0.0</v>
      </c>
      <c r="M416"/>
      <c r="N416"/>
      <c r="O416">
        <v>6.1</v>
      </c>
      <c r="P416">
        <v>0.0</v>
      </c>
      <c r="Q416">
        <v>40.0</v>
      </c>
      <c r="R416"/>
      <c r="S416"/>
      <c r="T416"/>
      <c r="U416"/>
      <c r="V416"/>
      <c r="W416">
        <v>18</v>
      </c>
    </row>
    <row r="417" spans="1:23">
      <c r="A417"/>
      <c r="B417" t="s">
        <v>70</v>
      </c>
      <c r="C417" t="s">
        <v>70</v>
      </c>
      <c r="D417" t="s">
        <v>33</v>
      </c>
      <c r="E417" t="s">
        <v>34</v>
      </c>
      <c r="F417" t="str">
        <f>"0014062"</f>
        <v>0014062</v>
      </c>
      <c r="G417">
        <v>1</v>
      </c>
      <c r="H417" t="str">
        <f>"00000001"</f>
        <v>00000001</v>
      </c>
      <c r="I417" t="s">
        <v>35</v>
      </c>
      <c r="J417"/>
      <c r="K417">
        <v>5.93</v>
      </c>
      <c r="L417">
        <v>0.0</v>
      </c>
      <c r="M417"/>
      <c r="N417"/>
      <c r="O417">
        <v>1.07</v>
      </c>
      <c r="P417">
        <v>0.0</v>
      </c>
      <c r="Q417">
        <v>7.0</v>
      </c>
      <c r="R417"/>
      <c r="S417"/>
      <c r="T417"/>
      <c r="U417"/>
      <c r="V417"/>
      <c r="W417">
        <v>18</v>
      </c>
    </row>
    <row r="418" spans="1:23">
      <c r="A418"/>
      <c r="B418" t="s">
        <v>70</v>
      </c>
      <c r="C418" t="s">
        <v>70</v>
      </c>
      <c r="D418" t="s">
        <v>33</v>
      </c>
      <c r="E418" t="s">
        <v>34</v>
      </c>
      <c r="F418" t="str">
        <f>"0014063"</f>
        <v>0014063</v>
      </c>
      <c r="G418">
        <v>1</v>
      </c>
      <c r="H418" t="str">
        <f>"00000001"</f>
        <v>00000001</v>
      </c>
      <c r="I418" t="s">
        <v>35</v>
      </c>
      <c r="J418"/>
      <c r="K418">
        <v>16.95</v>
      </c>
      <c r="L418">
        <v>0.0</v>
      </c>
      <c r="M418"/>
      <c r="N418"/>
      <c r="O418">
        <v>3.05</v>
      </c>
      <c r="P418">
        <v>0.0</v>
      </c>
      <c r="Q418">
        <v>20.0</v>
      </c>
      <c r="R418"/>
      <c r="S418"/>
      <c r="T418"/>
      <c r="U418"/>
      <c r="V418"/>
      <c r="W418">
        <v>18</v>
      </c>
    </row>
    <row r="419" spans="1:23">
      <c r="A419"/>
      <c r="B419" t="s">
        <v>70</v>
      </c>
      <c r="C419" t="s">
        <v>70</v>
      </c>
      <c r="D419" t="s">
        <v>33</v>
      </c>
      <c r="E419" t="s">
        <v>34</v>
      </c>
      <c r="F419" t="str">
        <f>"0014064"</f>
        <v>0014064</v>
      </c>
      <c r="G419">
        <v>1</v>
      </c>
      <c r="H419" t="str">
        <f>"00000001"</f>
        <v>00000001</v>
      </c>
      <c r="I419" t="s">
        <v>35</v>
      </c>
      <c r="J419"/>
      <c r="K419">
        <v>12.71</v>
      </c>
      <c r="L419">
        <v>0.0</v>
      </c>
      <c r="M419"/>
      <c r="N419"/>
      <c r="O419">
        <v>2.29</v>
      </c>
      <c r="P419">
        <v>0.0</v>
      </c>
      <c r="Q419">
        <v>15.0</v>
      </c>
      <c r="R419"/>
      <c r="S419"/>
      <c r="T419"/>
      <c r="U419"/>
      <c r="V419"/>
      <c r="W419">
        <v>18</v>
      </c>
    </row>
    <row r="420" spans="1:23">
      <c r="A420"/>
      <c r="B420" t="s">
        <v>70</v>
      </c>
      <c r="C420" t="s">
        <v>70</v>
      </c>
      <c r="D420" t="s">
        <v>33</v>
      </c>
      <c r="E420" t="s">
        <v>34</v>
      </c>
      <c r="F420" t="str">
        <f>"0014065"</f>
        <v>0014065</v>
      </c>
      <c r="G420">
        <v>1</v>
      </c>
      <c r="H420" t="str">
        <f>"00000001"</f>
        <v>00000001</v>
      </c>
      <c r="I420" t="s">
        <v>35</v>
      </c>
      <c r="J420"/>
      <c r="K420">
        <v>12.71</v>
      </c>
      <c r="L420">
        <v>0.0</v>
      </c>
      <c r="M420"/>
      <c r="N420"/>
      <c r="O420">
        <v>2.29</v>
      </c>
      <c r="P420">
        <v>0.0</v>
      </c>
      <c r="Q420">
        <v>15.0</v>
      </c>
      <c r="R420"/>
      <c r="S420"/>
      <c r="T420"/>
      <c r="U420"/>
      <c r="V420"/>
      <c r="W420">
        <v>18</v>
      </c>
    </row>
    <row r="421" spans="1:23">
      <c r="A421"/>
      <c r="B421" t="s">
        <v>70</v>
      </c>
      <c r="C421" t="s">
        <v>70</v>
      </c>
      <c r="D421" t="s">
        <v>33</v>
      </c>
      <c r="E421" t="s">
        <v>34</v>
      </c>
      <c r="F421" t="str">
        <f>"0014066"</f>
        <v>0014066</v>
      </c>
      <c r="G421">
        <v>1</v>
      </c>
      <c r="H421" t="str">
        <f>"00000001"</f>
        <v>00000001</v>
      </c>
      <c r="I421" t="s">
        <v>35</v>
      </c>
      <c r="J421"/>
      <c r="K421">
        <v>6.78</v>
      </c>
      <c r="L421">
        <v>0.0</v>
      </c>
      <c r="M421"/>
      <c r="N421"/>
      <c r="O421">
        <v>1.22</v>
      </c>
      <c r="P421">
        <v>0.0</v>
      </c>
      <c r="Q421">
        <v>8.0</v>
      </c>
      <c r="R421"/>
      <c r="S421"/>
      <c r="T421"/>
      <c r="U421"/>
      <c r="V421"/>
      <c r="W421">
        <v>18</v>
      </c>
    </row>
    <row r="422" spans="1:23">
      <c r="A422"/>
      <c r="B422" t="s">
        <v>70</v>
      </c>
      <c r="C422" t="s">
        <v>70</v>
      </c>
      <c r="D422" t="s">
        <v>33</v>
      </c>
      <c r="E422" t="s">
        <v>34</v>
      </c>
      <c r="F422" t="str">
        <f>"0014067"</f>
        <v>0014067</v>
      </c>
      <c r="G422">
        <v>1</v>
      </c>
      <c r="H422" t="str">
        <f>"00000001"</f>
        <v>00000001</v>
      </c>
      <c r="I422" t="s">
        <v>35</v>
      </c>
      <c r="J422"/>
      <c r="K422">
        <v>16.53</v>
      </c>
      <c r="L422">
        <v>0.0</v>
      </c>
      <c r="M422"/>
      <c r="N422"/>
      <c r="O422">
        <v>2.97</v>
      </c>
      <c r="P422">
        <v>0.0</v>
      </c>
      <c r="Q422">
        <v>19.5</v>
      </c>
      <c r="R422"/>
      <c r="S422"/>
      <c r="T422"/>
      <c r="U422"/>
      <c r="V422"/>
      <c r="W422">
        <v>18</v>
      </c>
    </row>
    <row r="423" spans="1:23">
      <c r="A423"/>
      <c r="B423" t="s">
        <v>70</v>
      </c>
      <c r="C423" t="s">
        <v>70</v>
      </c>
      <c r="D423" t="s">
        <v>33</v>
      </c>
      <c r="E423" t="s">
        <v>34</v>
      </c>
      <c r="F423" t="str">
        <f>"0014068"</f>
        <v>0014068</v>
      </c>
      <c r="G423">
        <v>1</v>
      </c>
      <c r="H423" t="str">
        <f>"23823330"</f>
        <v>23823330</v>
      </c>
      <c r="I423" t="s">
        <v>73</v>
      </c>
      <c r="J423"/>
      <c r="K423">
        <v>10.17</v>
      </c>
      <c r="L423">
        <v>0.0</v>
      </c>
      <c r="M423"/>
      <c r="N423"/>
      <c r="O423">
        <v>1.83</v>
      </c>
      <c r="P423">
        <v>0.0</v>
      </c>
      <c r="Q423">
        <v>12.0</v>
      </c>
      <c r="R423"/>
      <c r="S423"/>
      <c r="T423"/>
      <c r="U423"/>
      <c r="V423"/>
      <c r="W423">
        <v>18</v>
      </c>
    </row>
    <row r="424" spans="1:23">
      <c r="A424"/>
      <c r="B424" t="s">
        <v>70</v>
      </c>
      <c r="C424" t="s">
        <v>70</v>
      </c>
      <c r="D424" t="s">
        <v>40</v>
      </c>
      <c r="E424" t="s">
        <v>41</v>
      </c>
      <c r="F424" t="str">
        <f>"0001269"</f>
        <v>0001269</v>
      </c>
      <c r="G424">
        <v>6</v>
      </c>
      <c r="H424" t="str">
        <f>"20495721150"</f>
        <v>20495721150</v>
      </c>
      <c r="I424" t="s">
        <v>74</v>
      </c>
      <c r="J424"/>
      <c r="K424">
        <v>72.88</v>
      </c>
      <c r="L424">
        <v>0.0</v>
      </c>
      <c r="M424"/>
      <c r="N424"/>
      <c r="O424">
        <v>13.12</v>
      </c>
      <c r="P424">
        <v>0.0</v>
      </c>
      <c r="Q424">
        <v>86.0</v>
      </c>
      <c r="R424"/>
      <c r="S424"/>
      <c r="T424"/>
      <c r="U424"/>
      <c r="V424"/>
      <c r="W424">
        <v>18</v>
      </c>
    </row>
    <row r="425" spans="1:23">
      <c r="A425"/>
      <c r="B425" t="s">
        <v>70</v>
      </c>
      <c r="C425" t="s">
        <v>70</v>
      </c>
      <c r="D425" t="s">
        <v>33</v>
      </c>
      <c r="E425" t="s">
        <v>34</v>
      </c>
      <c r="F425" t="str">
        <f>"0014069"</f>
        <v>0014069</v>
      </c>
      <c r="G425">
        <v>6</v>
      </c>
      <c r="H425" t="str">
        <f>"20495721150"</f>
        <v>20495721150</v>
      </c>
      <c r="I425" t="s">
        <v>74</v>
      </c>
      <c r="J425"/>
      <c r="K425">
        <v>10.17</v>
      </c>
      <c r="L425">
        <v>0.0</v>
      </c>
      <c r="M425"/>
      <c r="N425"/>
      <c r="O425">
        <v>1.83</v>
      </c>
      <c r="P425">
        <v>0.0</v>
      </c>
      <c r="Q425">
        <v>12.0</v>
      </c>
      <c r="R425"/>
      <c r="S425"/>
      <c r="T425"/>
      <c r="U425"/>
      <c r="V425"/>
      <c r="W425">
        <v>18</v>
      </c>
    </row>
    <row r="426" spans="1:23">
      <c r="A426"/>
      <c r="B426" t="s">
        <v>75</v>
      </c>
      <c r="C426" t="s">
        <v>75</v>
      </c>
      <c r="D426" t="s">
        <v>33</v>
      </c>
      <c r="E426" t="s">
        <v>34</v>
      </c>
      <c r="F426" t="str">
        <f>"0014070"</f>
        <v>0014070</v>
      </c>
      <c r="G426">
        <v>1</v>
      </c>
      <c r="H426" t="str">
        <f>"00000001"</f>
        <v>00000001</v>
      </c>
      <c r="I426" t="s">
        <v>35</v>
      </c>
      <c r="J426"/>
      <c r="K426">
        <v>9.75</v>
      </c>
      <c r="L426">
        <v>0.0</v>
      </c>
      <c r="M426"/>
      <c r="N426"/>
      <c r="O426">
        <v>1.75</v>
      </c>
      <c r="P426">
        <v>0.0</v>
      </c>
      <c r="Q426">
        <v>11.5</v>
      </c>
      <c r="R426"/>
      <c r="S426"/>
      <c r="T426"/>
      <c r="U426"/>
      <c r="V426"/>
      <c r="W426">
        <v>18</v>
      </c>
    </row>
    <row r="427" spans="1:23">
      <c r="A427"/>
      <c r="B427" t="s">
        <v>75</v>
      </c>
      <c r="C427" t="s">
        <v>75</v>
      </c>
      <c r="D427" t="s">
        <v>33</v>
      </c>
      <c r="E427" t="s">
        <v>34</v>
      </c>
      <c r="F427" t="str">
        <f>"0014071"</f>
        <v>0014071</v>
      </c>
      <c r="G427">
        <v>1</v>
      </c>
      <c r="H427" t="str">
        <f>"00000001"</f>
        <v>00000001</v>
      </c>
      <c r="I427" t="s">
        <v>35</v>
      </c>
      <c r="J427"/>
      <c r="K427">
        <v>5.93</v>
      </c>
      <c r="L427">
        <v>0.0</v>
      </c>
      <c r="M427"/>
      <c r="N427"/>
      <c r="O427">
        <v>1.07</v>
      </c>
      <c r="P427">
        <v>0.0</v>
      </c>
      <c r="Q427">
        <v>7.0</v>
      </c>
      <c r="R427"/>
      <c r="S427"/>
      <c r="T427"/>
      <c r="U427"/>
      <c r="V427"/>
      <c r="W427">
        <v>18</v>
      </c>
    </row>
    <row r="428" spans="1:23">
      <c r="A428"/>
      <c r="B428" t="s">
        <v>75</v>
      </c>
      <c r="C428" t="s">
        <v>75</v>
      </c>
      <c r="D428" t="s">
        <v>33</v>
      </c>
      <c r="E428" t="s">
        <v>34</v>
      </c>
      <c r="F428" t="str">
        <f>"0014072"</f>
        <v>0014072</v>
      </c>
      <c r="G428">
        <v>1</v>
      </c>
      <c r="H428" t="str">
        <f>"CSC00000"</f>
        <v>CSC00000</v>
      </c>
      <c r="I428" t="s">
        <v>64</v>
      </c>
      <c r="J428"/>
      <c r="K428">
        <v>29.24</v>
      </c>
      <c r="L428">
        <v>0.0</v>
      </c>
      <c r="M428"/>
      <c r="N428"/>
      <c r="O428">
        <v>5.26</v>
      </c>
      <c r="P428">
        <v>0.0</v>
      </c>
      <c r="Q428">
        <v>34.5</v>
      </c>
      <c r="R428"/>
      <c r="S428"/>
      <c r="T428"/>
      <c r="U428"/>
      <c r="V428"/>
      <c r="W428">
        <v>18</v>
      </c>
    </row>
    <row r="429" spans="1:23">
      <c r="A429"/>
      <c r="B429" t="s">
        <v>75</v>
      </c>
      <c r="C429" t="s">
        <v>75</v>
      </c>
      <c r="D429" t="s">
        <v>33</v>
      </c>
      <c r="E429" t="s">
        <v>34</v>
      </c>
      <c r="F429" t="str">
        <f>"0014073"</f>
        <v>0014073</v>
      </c>
      <c r="G429">
        <v>1</v>
      </c>
      <c r="H429" t="str">
        <f>"CSC00000"</f>
        <v>CSC00000</v>
      </c>
      <c r="I429" t="s">
        <v>64</v>
      </c>
      <c r="J429"/>
      <c r="K429">
        <v>5.25</v>
      </c>
      <c r="L429">
        <v>0.0</v>
      </c>
      <c r="M429"/>
      <c r="N429"/>
      <c r="O429">
        <v>0.95</v>
      </c>
      <c r="P429">
        <v>0.0</v>
      </c>
      <c r="Q429">
        <v>6.2</v>
      </c>
      <c r="R429"/>
      <c r="S429"/>
      <c r="T429"/>
      <c r="U429"/>
      <c r="V429"/>
      <c r="W429">
        <v>18</v>
      </c>
    </row>
    <row r="430" spans="1:23">
      <c r="A430"/>
      <c r="B430" t="s">
        <v>75</v>
      </c>
      <c r="C430" t="s">
        <v>75</v>
      </c>
      <c r="D430" t="s">
        <v>33</v>
      </c>
      <c r="E430" t="s">
        <v>34</v>
      </c>
      <c r="F430" t="str">
        <f>"0014074"</f>
        <v>0014074</v>
      </c>
      <c r="G430">
        <v>1</v>
      </c>
      <c r="H430" t="str">
        <f>"00000001"</f>
        <v>00000001</v>
      </c>
      <c r="I430" t="s">
        <v>35</v>
      </c>
      <c r="J430"/>
      <c r="K430">
        <v>38.14</v>
      </c>
      <c r="L430">
        <v>0.0</v>
      </c>
      <c r="M430"/>
      <c r="N430"/>
      <c r="O430">
        <v>6.86</v>
      </c>
      <c r="P430">
        <v>0.0</v>
      </c>
      <c r="Q430">
        <v>45.0</v>
      </c>
      <c r="R430"/>
      <c r="S430"/>
      <c r="T430"/>
      <c r="U430"/>
      <c r="V430"/>
      <c r="W430">
        <v>18</v>
      </c>
    </row>
    <row r="431" spans="1:23">
      <c r="A431"/>
      <c r="B431" t="s">
        <v>75</v>
      </c>
      <c r="C431" t="s">
        <v>75</v>
      </c>
      <c r="D431" t="s">
        <v>33</v>
      </c>
      <c r="E431" t="s">
        <v>34</v>
      </c>
      <c r="F431" t="str">
        <f>"0014075"</f>
        <v>0014075</v>
      </c>
      <c r="G431">
        <v>6</v>
      </c>
      <c r="H431" t="str">
        <f>"20212387755"</f>
        <v>20212387755</v>
      </c>
      <c r="I431" t="s">
        <v>42</v>
      </c>
      <c r="J431"/>
      <c r="K431">
        <v>36.44</v>
      </c>
      <c r="L431">
        <v>0.0</v>
      </c>
      <c r="M431"/>
      <c r="N431"/>
      <c r="O431">
        <v>6.56</v>
      </c>
      <c r="P431">
        <v>0.0</v>
      </c>
      <c r="Q431">
        <v>43.0</v>
      </c>
      <c r="R431"/>
      <c r="S431"/>
      <c r="T431"/>
      <c r="U431"/>
      <c r="V431"/>
      <c r="W431">
        <v>18</v>
      </c>
    </row>
    <row r="432" spans="1:23">
      <c r="A432"/>
      <c r="B432" t="s">
        <v>75</v>
      </c>
      <c r="C432" t="s">
        <v>75</v>
      </c>
      <c r="D432" t="s">
        <v>33</v>
      </c>
      <c r="E432" t="s">
        <v>34</v>
      </c>
      <c r="F432" t="str">
        <f>"0014076"</f>
        <v>0014076</v>
      </c>
      <c r="G432">
        <v>1</v>
      </c>
      <c r="H432" t="str">
        <f>"00000001"</f>
        <v>00000001</v>
      </c>
      <c r="I432" t="s">
        <v>35</v>
      </c>
      <c r="J432"/>
      <c r="K432">
        <v>61.02</v>
      </c>
      <c r="L432">
        <v>0.0</v>
      </c>
      <c r="M432"/>
      <c r="N432"/>
      <c r="O432">
        <v>10.98</v>
      </c>
      <c r="P432">
        <v>0.0</v>
      </c>
      <c r="Q432">
        <v>72.0</v>
      </c>
      <c r="R432"/>
      <c r="S432"/>
      <c r="T432"/>
      <c r="U432"/>
      <c r="V432"/>
      <c r="W432">
        <v>18</v>
      </c>
    </row>
    <row r="433" spans="1:23">
      <c r="A433"/>
      <c r="B433" t="s">
        <v>75</v>
      </c>
      <c r="C433" t="s">
        <v>75</v>
      </c>
      <c r="D433" t="s">
        <v>40</v>
      </c>
      <c r="E433" t="s">
        <v>41</v>
      </c>
      <c r="F433" t="str">
        <f>"0001270"</f>
        <v>0001270</v>
      </c>
      <c r="G433">
        <v>6</v>
      </c>
      <c r="H433" t="str">
        <f>"20606557524"</f>
        <v>20606557524</v>
      </c>
      <c r="I433" t="s">
        <v>76</v>
      </c>
      <c r="J433"/>
      <c r="K433">
        <v>84.75</v>
      </c>
      <c r="L433">
        <v>0.0</v>
      </c>
      <c r="M433"/>
      <c r="N433"/>
      <c r="O433">
        <v>15.25</v>
      </c>
      <c r="P433">
        <v>0.0</v>
      </c>
      <c r="Q433">
        <v>100.0</v>
      </c>
      <c r="R433"/>
      <c r="S433"/>
      <c r="T433"/>
      <c r="U433"/>
      <c r="V433"/>
      <c r="W433">
        <v>18</v>
      </c>
    </row>
    <row r="434" spans="1:23">
      <c r="A434"/>
      <c r="B434" t="s">
        <v>75</v>
      </c>
      <c r="C434" t="s">
        <v>75</v>
      </c>
      <c r="D434" t="s">
        <v>33</v>
      </c>
      <c r="E434" t="s">
        <v>34</v>
      </c>
      <c r="F434" t="str">
        <f>"0014077"</f>
        <v>0014077</v>
      </c>
      <c r="G434">
        <v>1</v>
      </c>
      <c r="H434" t="str">
        <f>"00000001"</f>
        <v>00000001</v>
      </c>
      <c r="I434" t="s">
        <v>35</v>
      </c>
      <c r="J434"/>
      <c r="K434">
        <v>9.32</v>
      </c>
      <c r="L434">
        <v>0.0</v>
      </c>
      <c r="M434"/>
      <c r="N434"/>
      <c r="O434">
        <v>1.68</v>
      </c>
      <c r="P434">
        <v>0.0</v>
      </c>
      <c r="Q434">
        <v>11.0</v>
      </c>
      <c r="R434"/>
      <c r="S434"/>
      <c r="T434"/>
      <c r="U434"/>
      <c r="V434"/>
      <c r="W434">
        <v>18</v>
      </c>
    </row>
    <row r="435" spans="1:23">
      <c r="A435"/>
      <c r="B435" t="s">
        <v>75</v>
      </c>
      <c r="C435" t="s">
        <v>75</v>
      </c>
      <c r="D435" t="s">
        <v>33</v>
      </c>
      <c r="E435" t="s">
        <v>34</v>
      </c>
      <c r="F435" t="str">
        <f>"0014078"</f>
        <v>0014078</v>
      </c>
      <c r="G435">
        <v>1</v>
      </c>
      <c r="H435" t="str">
        <f>"00000001"</f>
        <v>00000001</v>
      </c>
      <c r="I435" t="s">
        <v>35</v>
      </c>
      <c r="J435"/>
      <c r="K435">
        <v>40.68</v>
      </c>
      <c r="L435">
        <v>0.0</v>
      </c>
      <c r="M435"/>
      <c r="N435"/>
      <c r="O435">
        <v>7.32</v>
      </c>
      <c r="P435">
        <v>0.0</v>
      </c>
      <c r="Q435">
        <v>48.0</v>
      </c>
      <c r="R435"/>
      <c r="S435"/>
      <c r="T435"/>
      <c r="U435"/>
      <c r="V435"/>
      <c r="W435">
        <v>18</v>
      </c>
    </row>
    <row r="436" spans="1:23">
      <c r="A436"/>
      <c r="B436" t="s">
        <v>75</v>
      </c>
      <c r="C436" t="s">
        <v>75</v>
      </c>
      <c r="D436" t="s">
        <v>33</v>
      </c>
      <c r="E436" t="s">
        <v>34</v>
      </c>
      <c r="F436" t="str">
        <f>"0014079"</f>
        <v>0014079</v>
      </c>
      <c r="G436">
        <v>1</v>
      </c>
      <c r="H436" t="str">
        <f>"00000001"</f>
        <v>00000001</v>
      </c>
      <c r="I436" t="s">
        <v>35</v>
      </c>
      <c r="J436"/>
      <c r="K436">
        <v>38.14</v>
      </c>
      <c r="L436">
        <v>0.0</v>
      </c>
      <c r="M436"/>
      <c r="N436"/>
      <c r="O436">
        <v>6.86</v>
      </c>
      <c r="P436">
        <v>0.0</v>
      </c>
      <c r="Q436">
        <v>45.0</v>
      </c>
      <c r="R436"/>
      <c r="S436"/>
      <c r="T436"/>
      <c r="U436"/>
      <c r="V436"/>
      <c r="W436">
        <v>18</v>
      </c>
    </row>
    <row r="437" spans="1:23">
      <c r="A437"/>
      <c r="B437" t="s">
        <v>75</v>
      </c>
      <c r="C437" t="s">
        <v>75</v>
      </c>
      <c r="D437" t="s">
        <v>33</v>
      </c>
      <c r="E437" t="s">
        <v>34</v>
      </c>
      <c r="F437" t="str">
        <f>"0014080"</f>
        <v>0014080</v>
      </c>
      <c r="G437">
        <v>1</v>
      </c>
      <c r="H437" t="str">
        <f>"00000001"</f>
        <v>00000001</v>
      </c>
      <c r="I437" t="s">
        <v>35</v>
      </c>
      <c r="J437"/>
      <c r="K437">
        <v>2.54</v>
      </c>
      <c r="L437">
        <v>0.0</v>
      </c>
      <c r="M437"/>
      <c r="N437"/>
      <c r="O437">
        <v>0.46</v>
      </c>
      <c r="P437">
        <v>0.0</v>
      </c>
      <c r="Q437">
        <v>3.0</v>
      </c>
      <c r="R437"/>
      <c r="S437"/>
      <c r="T437"/>
      <c r="U437"/>
      <c r="V437"/>
      <c r="W437">
        <v>18</v>
      </c>
    </row>
    <row r="438" spans="1:23">
      <c r="A438"/>
      <c r="B438" t="s">
        <v>75</v>
      </c>
      <c r="C438" t="s">
        <v>75</v>
      </c>
      <c r="D438" t="s">
        <v>33</v>
      </c>
      <c r="E438" t="s">
        <v>34</v>
      </c>
      <c r="F438" t="str">
        <f>"0014081"</f>
        <v>0014081</v>
      </c>
      <c r="G438">
        <v>1</v>
      </c>
      <c r="H438" t="str">
        <f>"00000001"</f>
        <v>00000001</v>
      </c>
      <c r="I438" t="s">
        <v>35</v>
      </c>
      <c r="J438"/>
      <c r="K438">
        <v>6.78</v>
      </c>
      <c r="L438">
        <v>0.0</v>
      </c>
      <c r="M438"/>
      <c r="N438"/>
      <c r="O438">
        <v>1.22</v>
      </c>
      <c r="P438">
        <v>0.0</v>
      </c>
      <c r="Q438">
        <v>8.0</v>
      </c>
      <c r="R438"/>
      <c r="S438"/>
      <c r="T438"/>
      <c r="U438"/>
      <c r="V438"/>
      <c r="W438">
        <v>18</v>
      </c>
    </row>
    <row r="439" spans="1:23">
      <c r="A439"/>
      <c r="B439" t="s">
        <v>75</v>
      </c>
      <c r="C439" t="s">
        <v>75</v>
      </c>
      <c r="D439" t="s">
        <v>33</v>
      </c>
      <c r="E439" t="s">
        <v>34</v>
      </c>
      <c r="F439" t="str">
        <f>"0014082"</f>
        <v>0014082</v>
      </c>
      <c r="G439">
        <v>1</v>
      </c>
      <c r="H439" t="str">
        <f>"00000001"</f>
        <v>00000001</v>
      </c>
      <c r="I439" t="s">
        <v>35</v>
      </c>
      <c r="J439"/>
      <c r="K439">
        <v>34.32</v>
      </c>
      <c r="L439">
        <v>0.0</v>
      </c>
      <c r="M439"/>
      <c r="N439"/>
      <c r="O439">
        <v>6.18</v>
      </c>
      <c r="P439">
        <v>0.0</v>
      </c>
      <c r="Q439">
        <v>40.5</v>
      </c>
      <c r="R439"/>
      <c r="S439"/>
      <c r="T439"/>
      <c r="U439"/>
      <c r="V439"/>
      <c r="W439">
        <v>18</v>
      </c>
    </row>
    <row r="440" spans="1:23">
      <c r="A440"/>
      <c r="B440" t="s">
        <v>75</v>
      </c>
      <c r="C440" t="s">
        <v>75</v>
      </c>
      <c r="D440" t="s">
        <v>33</v>
      </c>
      <c r="E440" t="s">
        <v>34</v>
      </c>
      <c r="F440" t="str">
        <f>"0014083"</f>
        <v>0014083</v>
      </c>
      <c r="G440">
        <v>1</v>
      </c>
      <c r="H440" t="str">
        <f>"00000001"</f>
        <v>00000001</v>
      </c>
      <c r="I440" t="s">
        <v>35</v>
      </c>
      <c r="J440"/>
      <c r="K440">
        <v>22.88</v>
      </c>
      <c r="L440">
        <v>0.0</v>
      </c>
      <c r="M440"/>
      <c r="N440"/>
      <c r="O440">
        <v>4.12</v>
      </c>
      <c r="P440">
        <v>0.0</v>
      </c>
      <c r="Q440">
        <v>27.0</v>
      </c>
      <c r="R440"/>
      <c r="S440"/>
      <c r="T440"/>
      <c r="U440"/>
      <c r="V440"/>
      <c r="W440">
        <v>18</v>
      </c>
    </row>
    <row r="441" spans="1:23">
      <c r="A441"/>
      <c r="B441" t="s">
        <v>75</v>
      </c>
      <c r="C441" t="s">
        <v>75</v>
      </c>
      <c r="D441" t="s">
        <v>40</v>
      </c>
      <c r="E441" t="s">
        <v>41</v>
      </c>
      <c r="F441" t="str">
        <f>"0001271"</f>
        <v>0001271</v>
      </c>
      <c r="G441">
        <v>6</v>
      </c>
      <c r="H441" t="str">
        <f>"20369155360"</f>
        <v>20369155360</v>
      </c>
      <c r="I441" t="s">
        <v>51</v>
      </c>
      <c r="J441"/>
      <c r="K441">
        <v>254.24</v>
      </c>
      <c r="L441">
        <v>0.0</v>
      </c>
      <c r="M441"/>
      <c r="N441"/>
      <c r="O441">
        <v>45.76</v>
      </c>
      <c r="P441">
        <v>0.0</v>
      </c>
      <c r="Q441">
        <v>300.0</v>
      </c>
      <c r="R441"/>
      <c r="S441"/>
      <c r="T441"/>
      <c r="U441"/>
      <c r="V441"/>
      <c r="W441">
        <v>18</v>
      </c>
    </row>
    <row r="442" spans="1:23">
      <c r="A442"/>
      <c r="B442" t="s">
        <v>75</v>
      </c>
      <c r="C442" t="s">
        <v>75</v>
      </c>
      <c r="D442" t="s">
        <v>33</v>
      </c>
      <c r="E442" t="s">
        <v>34</v>
      </c>
      <c r="F442" t="str">
        <f>"0014084"</f>
        <v>0014084</v>
      </c>
      <c r="G442">
        <v>1</v>
      </c>
      <c r="H442" t="str">
        <f>"00000001"</f>
        <v>00000001</v>
      </c>
      <c r="I442" t="s">
        <v>35</v>
      </c>
      <c r="J442"/>
      <c r="K442">
        <v>25.42</v>
      </c>
      <c r="L442">
        <v>0.0</v>
      </c>
      <c r="M442"/>
      <c r="N442"/>
      <c r="O442">
        <v>4.58</v>
      </c>
      <c r="P442">
        <v>0.0</v>
      </c>
      <c r="Q442">
        <v>30.0</v>
      </c>
      <c r="R442"/>
      <c r="S442"/>
      <c r="T442"/>
      <c r="U442"/>
      <c r="V442"/>
      <c r="W442">
        <v>18</v>
      </c>
    </row>
    <row r="443" spans="1:23">
      <c r="A443"/>
      <c r="B443" t="s">
        <v>75</v>
      </c>
      <c r="C443" t="s">
        <v>75</v>
      </c>
      <c r="D443" t="s">
        <v>33</v>
      </c>
      <c r="E443" t="s">
        <v>34</v>
      </c>
      <c r="F443" t="str">
        <f>"0014085"</f>
        <v>0014085</v>
      </c>
      <c r="G443">
        <v>1</v>
      </c>
      <c r="H443" t="str">
        <f>"00000001"</f>
        <v>00000001</v>
      </c>
      <c r="I443" t="s">
        <v>35</v>
      </c>
      <c r="J443"/>
      <c r="K443">
        <v>22.03</v>
      </c>
      <c r="L443">
        <v>0.0</v>
      </c>
      <c r="M443"/>
      <c r="N443"/>
      <c r="O443">
        <v>3.97</v>
      </c>
      <c r="P443">
        <v>0.0</v>
      </c>
      <c r="Q443">
        <v>26.0</v>
      </c>
      <c r="R443"/>
      <c r="S443"/>
      <c r="T443"/>
      <c r="U443"/>
      <c r="V443"/>
      <c r="W443">
        <v>18</v>
      </c>
    </row>
    <row r="444" spans="1:23">
      <c r="A444"/>
      <c r="B444" t="s">
        <v>75</v>
      </c>
      <c r="C444" t="s">
        <v>75</v>
      </c>
      <c r="D444" t="s">
        <v>33</v>
      </c>
      <c r="E444" t="s">
        <v>34</v>
      </c>
      <c r="F444" t="str">
        <f>"0014086"</f>
        <v>0014086</v>
      </c>
      <c r="G444">
        <v>1</v>
      </c>
      <c r="H444" t="str">
        <f>"00000001"</f>
        <v>00000001</v>
      </c>
      <c r="I444" t="s">
        <v>35</v>
      </c>
      <c r="J444"/>
      <c r="K444">
        <v>24.58</v>
      </c>
      <c r="L444">
        <v>0.0</v>
      </c>
      <c r="M444"/>
      <c r="N444"/>
      <c r="O444">
        <v>4.42</v>
      </c>
      <c r="P444">
        <v>0.0</v>
      </c>
      <c r="Q444">
        <v>29.0</v>
      </c>
      <c r="R444"/>
      <c r="S444"/>
      <c r="T444"/>
      <c r="U444"/>
      <c r="V444"/>
      <c r="W444">
        <v>18</v>
      </c>
    </row>
    <row r="445" spans="1:23">
      <c r="A445"/>
      <c r="B445" t="s">
        <v>75</v>
      </c>
      <c r="C445" t="s">
        <v>75</v>
      </c>
      <c r="D445" t="s">
        <v>33</v>
      </c>
      <c r="E445" t="s">
        <v>34</v>
      </c>
      <c r="F445" t="str">
        <f>"0014087"</f>
        <v>0014087</v>
      </c>
      <c r="G445">
        <v>1</v>
      </c>
      <c r="H445" t="str">
        <f>"00000001"</f>
        <v>00000001</v>
      </c>
      <c r="I445" t="s">
        <v>35</v>
      </c>
      <c r="J445"/>
      <c r="K445">
        <v>12.71</v>
      </c>
      <c r="L445">
        <v>0.0</v>
      </c>
      <c r="M445"/>
      <c r="N445"/>
      <c r="O445">
        <v>2.29</v>
      </c>
      <c r="P445">
        <v>0.0</v>
      </c>
      <c r="Q445">
        <v>15.0</v>
      </c>
      <c r="R445"/>
      <c r="S445"/>
      <c r="T445"/>
      <c r="U445"/>
      <c r="V445"/>
      <c r="W445">
        <v>18</v>
      </c>
    </row>
    <row r="446" spans="1:23">
      <c r="A446"/>
      <c r="B446" t="s">
        <v>75</v>
      </c>
      <c r="C446" t="s">
        <v>75</v>
      </c>
      <c r="D446" t="s">
        <v>33</v>
      </c>
      <c r="E446" t="s">
        <v>34</v>
      </c>
      <c r="F446" t="str">
        <f>"0014088"</f>
        <v>0014088</v>
      </c>
      <c r="G446">
        <v>1</v>
      </c>
      <c r="H446" t="str">
        <f>"00000001"</f>
        <v>00000001</v>
      </c>
      <c r="I446" t="s">
        <v>35</v>
      </c>
      <c r="J446"/>
      <c r="K446">
        <v>13.56</v>
      </c>
      <c r="L446">
        <v>0.0</v>
      </c>
      <c r="M446"/>
      <c r="N446"/>
      <c r="O446">
        <v>2.44</v>
      </c>
      <c r="P446">
        <v>0.0</v>
      </c>
      <c r="Q446">
        <v>16.0</v>
      </c>
      <c r="R446"/>
      <c r="S446"/>
      <c r="T446"/>
      <c r="U446"/>
      <c r="V446"/>
      <c r="W446">
        <v>18</v>
      </c>
    </row>
    <row r="447" spans="1:23">
      <c r="A447"/>
      <c r="B447" t="s">
        <v>75</v>
      </c>
      <c r="C447" t="s">
        <v>75</v>
      </c>
      <c r="D447" t="s">
        <v>33</v>
      </c>
      <c r="E447" t="s">
        <v>34</v>
      </c>
      <c r="F447" t="str">
        <f>"0014089"</f>
        <v>0014089</v>
      </c>
      <c r="G447">
        <v>1</v>
      </c>
      <c r="H447" t="str">
        <f>"00000001"</f>
        <v>00000001</v>
      </c>
      <c r="I447" t="s">
        <v>35</v>
      </c>
      <c r="J447"/>
      <c r="K447">
        <v>1.69</v>
      </c>
      <c r="L447">
        <v>0.0</v>
      </c>
      <c r="M447"/>
      <c r="N447"/>
      <c r="O447">
        <v>0.31</v>
      </c>
      <c r="P447">
        <v>0.0</v>
      </c>
      <c r="Q447">
        <v>2.0</v>
      </c>
      <c r="R447"/>
      <c r="S447"/>
      <c r="T447"/>
      <c r="U447"/>
      <c r="V447"/>
      <c r="W447">
        <v>18</v>
      </c>
    </row>
    <row r="448" spans="1:23">
      <c r="A448"/>
      <c r="B448" t="s">
        <v>75</v>
      </c>
      <c r="C448" t="s">
        <v>75</v>
      </c>
      <c r="D448" t="s">
        <v>33</v>
      </c>
      <c r="E448" t="s">
        <v>34</v>
      </c>
      <c r="F448" t="str">
        <f>"0014090"</f>
        <v>0014090</v>
      </c>
      <c r="G448">
        <v>1</v>
      </c>
      <c r="H448" t="str">
        <f>"00000001"</f>
        <v>00000001</v>
      </c>
      <c r="I448" t="s">
        <v>35</v>
      </c>
      <c r="J448"/>
      <c r="K448">
        <v>13.14</v>
      </c>
      <c r="L448">
        <v>0.0</v>
      </c>
      <c r="M448"/>
      <c r="N448"/>
      <c r="O448">
        <v>2.36</v>
      </c>
      <c r="P448">
        <v>0.0</v>
      </c>
      <c r="Q448">
        <v>15.5</v>
      </c>
      <c r="R448"/>
      <c r="S448"/>
      <c r="T448"/>
      <c r="U448"/>
      <c r="V448"/>
      <c r="W448">
        <v>18</v>
      </c>
    </row>
    <row r="449" spans="1:23">
      <c r="A449"/>
      <c r="B449" t="s">
        <v>75</v>
      </c>
      <c r="C449" t="s">
        <v>75</v>
      </c>
      <c r="D449" t="s">
        <v>33</v>
      </c>
      <c r="E449" t="s">
        <v>34</v>
      </c>
      <c r="F449" t="str">
        <f>"0014091"</f>
        <v>0014091</v>
      </c>
      <c r="G449">
        <v>1</v>
      </c>
      <c r="H449" t="str">
        <f>"00000001"</f>
        <v>00000001</v>
      </c>
      <c r="I449" t="s">
        <v>35</v>
      </c>
      <c r="J449"/>
      <c r="K449">
        <v>25.42</v>
      </c>
      <c r="L449">
        <v>0.0</v>
      </c>
      <c r="M449"/>
      <c r="N449"/>
      <c r="O449">
        <v>4.58</v>
      </c>
      <c r="P449">
        <v>0.0</v>
      </c>
      <c r="Q449">
        <v>30.0</v>
      </c>
      <c r="R449"/>
      <c r="S449"/>
      <c r="T449"/>
      <c r="U449"/>
      <c r="V449"/>
      <c r="W449">
        <v>18</v>
      </c>
    </row>
    <row r="450" spans="1:23">
      <c r="A450"/>
      <c r="B450" t="s">
        <v>75</v>
      </c>
      <c r="C450" t="s">
        <v>75</v>
      </c>
      <c r="D450" t="s">
        <v>33</v>
      </c>
      <c r="E450" t="s">
        <v>34</v>
      </c>
      <c r="F450" t="str">
        <f>"0014092"</f>
        <v>0014092</v>
      </c>
      <c r="G450">
        <v>1</v>
      </c>
      <c r="H450" t="str">
        <f>"00000001"</f>
        <v>00000001</v>
      </c>
      <c r="I450" t="s">
        <v>35</v>
      </c>
      <c r="J450"/>
      <c r="K450">
        <v>7.63</v>
      </c>
      <c r="L450">
        <v>0.0</v>
      </c>
      <c r="M450"/>
      <c r="N450"/>
      <c r="O450">
        <v>1.37</v>
      </c>
      <c r="P450">
        <v>0.0</v>
      </c>
      <c r="Q450">
        <v>9.0</v>
      </c>
      <c r="R450"/>
      <c r="S450"/>
      <c r="T450"/>
      <c r="U450"/>
      <c r="V450"/>
      <c r="W450">
        <v>18</v>
      </c>
    </row>
    <row r="451" spans="1:23">
      <c r="A451"/>
      <c r="B451" t="s">
        <v>75</v>
      </c>
      <c r="C451" t="s">
        <v>75</v>
      </c>
      <c r="D451" t="s">
        <v>33</v>
      </c>
      <c r="E451" t="s">
        <v>34</v>
      </c>
      <c r="F451" t="str">
        <f>"0014093"</f>
        <v>0014093</v>
      </c>
      <c r="G451">
        <v>1</v>
      </c>
      <c r="H451" t="str">
        <f>"00000001"</f>
        <v>00000001</v>
      </c>
      <c r="I451" t="s">
        <v>35</v>
      </c>
      <c r="J451"/>
      <c r="K451">
        <v>8.47</v>
      </c>
      <c r="L451">
        <v>0.0</v>
      </c>
      <c r="M451"/>
      <c r="N451"/>
      <c r="O451">
        <v>1.53</v>
      </c>
      <c r="P451">
        <v>0.0</v>
      </c>
      <c r="Q451">
        <v>10.0</v>
      </c>
      <c r="R451"/>
      <c r="S451"/>
      <c r="T451"/>
      <c r="U451"/>
      <c r="V451"/>
      <c r="W451">
        <v>18</v>
      </c>
    </row>
    <row r="452" spans="1:23">
      <c r="A452"/>
      <c r="B452" t="s">
        <v>75</v>
      </c>
      <c r="C452" t="s">
        <v>75</v>
      </c>
      <c r="D452" t="s">
        <v>40</v>
      </c>
      <c r="E452" t="s">
        <v>41</v>
      </c>
      <c r="F452" t="str">
        <f>"0001272"</f>
        <v>0001272</v>
      </c>
      <c r="G452">
        <v>6</v>
      </c>
      <c r="H452" t="str">
        <f>"20453262767"</f>
        <v>20453262767</v>
      </c>
      <c r="I452" t="s">
        <v>77</v>
      </c>
      <c r="J452"/>
      <c r="K452">
        <v>8.47</v>
      </c>
      <c r="L452">
        <v>0.0</v>
      </c>
      <c r="M452"/>
      <c r="N452"/>
      <c r="O452">
        <v>1.53</v>
      </c>
      <c r="P452">
        <v>0.0</v>
      </c>
      <c r="Q452">
        <v>10.0</v>
      </c>
      <c r="R452"/>
      <c r="S452"/>
      <c r="T452"/>
      <c r="U452"/>
      <c r="V452"/>
      <c r="W452">
        <v>18</v>
      </c>
    </row>
    <row r="453" spans="1:23">
      <c r="A453"/>
      <c r="B453" t="s">
        <v>75</v>
      </c>
      <c r="C453" t="s">
        <v>75</v>
      </c>
      <c r="D453" t="s">
        <v>40</v>
      </c>
      <c r="E453" t="s">
        <v>41</v>
      </c>
      <c r="F453" t="str">
        <f>"0001273"</f>
        <v>0001273</v>
      </c>
      <c r="G453">
        <v>6</v>
      </c>
      <c r="H453" t="str">
        <f>"20453262767"</f>
        <v>20453262767</v>
      </c>
      <c r="I453" t="s">
        <v>77</v>
      </c>
      <c r="J453"/>
      <c r="K453">
        <v>12.71</v>
      </c>
      <c r="L453">
        <v>0.0</v>
      </c>
      <c r="M453"/>
      <c r="N453"/>
      <c r="O453">
        <v>2.29</v>
      </c>
      <c r="P453">
        <v>0.0</v>
      </c>
      <c r="Q453">
        <v>15.0</v>
      </c>
      <c r="R453"/>
      <c r="S453"/>
      <c r="T453"/>
      <c r="U453"/>
      <c r="V453"/>
      <c r="W453">
        <v>18</v>
      </c>
    </row>
    <row r="454" spans="1:23">
      <c r="A454"/>
      <c r="B454" t="s">
        <v>75</v>
      </c>
      <c r="C454" t="s">
        <v>75</v>
      </c>
      <c r="D454" t="s">
        <v>33</v>
      </c>
      <c r="E454" t="s">
        <v>34</v>
      </c>
      <c r="F454" t="str">
        <f>"0014094"</f>
        <v>0014094</v>
      </c>
      <c r="G454">
        <v>1</v>
      </c>
      <c r="H454" t="str">
        <f>"00000001"</f>
        <v>00000001</v>
      </c>
      <c r="I454" t="s">
        <v>35</v>
      </c>
      <c r="J454"/>
      <c r="K454">
        <v>33.9</v>
      </c>
      <c r="L454">
        <v>0.0</v>
      </c>
      <c r="M454"/>
      <c r="N454"/>
      <c r="O454">
        <v>6.1</v>
      </c>
      <c r="P454">
        <v>0.0</v>
      </c>
      <c r="Q454">
        <v>40.0</v>
      </c>
      <c r="R454"/>
      <c r="S454"/>
      <c r="T454"/>
      <c r="U454"/>
      <c r="V454"/>
      <c r="W454">
        <v>18</v>
      </c>
    </row>
    <row r="455" spans="1:23">
      <c r="A455"/>
      <c r="B455" t="s">
        <v>75</v>
      </c>
      <c r="C455" t="s">
        <v>75</v>
      </c>
      <c r="D455" t="s">
        <v>33</v>
      </c>
      <c r="E455" t="s">
        <v>34</v>
      </c>
      <c r="F455" t="str">
        <f>"0014095"</f>
        <v>0014095</v>
      </c>
      <c r="G455">
        <v>1</v>
      </c>
      <c r="H455" t="str">
        <f>"00000001"</f>
        <v>00000001</v>
      </c>
      <c r="I455" t="s">
        <v>35</v>
      </c>
      <c r="J455"/>
      <c r="K455">
        <v>10.17</v>
      </c>
      <c r="L455">
        <v>0.0</v>
      </c>
      <c r="M455"/>
      <c r="N455"/>
      <c r="O455">
        <v>1.83</v>
      </c>
      <c r="P455">
        <v>0.0</v>
      </c>
      <c r="Q455">
        <v>12.0</v>
      </c>
      <c r="R455"/>
      <c r="S455"/>
      <c r="T455"/>
      <c r="U455"/>
      <c r="V455"/>
      <c r="W455">
        <v>18</v>
      </c>
    </row>
    <row r="456" spans="1:23">
      <c r="A456"/>
      <c r="B456" t="s">
        <v>75</v>
      </c>
      <c r="C456" t="s">
        <v>75</v>
      </c>
      <c r="D456" t="s">
        <v>33</v>
      </c>
      <c r="E456" t="s">
        <v>34</v>
      </c>
      <c r="F456" t="str">
        <f>"0014096"</f>
        <v>0014096</v>
      </c>
      <c r="G456">
        <v>1</v>
      </c>
      <c r="H456" t="str">
        <f>"00000001"</f>
        <v>00000001</v>
      </c>
      <c r="I456" t="s">
        <v>35</v>
      </c>
      <c r="J456"/>
      <c r="K456">
        <v>12.71</v>
      </c>
      <c r="L456">
        <v>0.0</v>
      </c>
      <c r="M456"/>
      <c r="N456"/>
      <c r="O456">
        <v>2.29</v>
      </c>
      <c r="P456">
        <v>0.0</v>
      </c>
      <c r="Q456">
        <v>15.0</v>
      </c>
      <c r="R456"/>
      <c r="S456"/>
      <c r="T456"/>
      <c r="U456"/>
      <c r="V456"/>
      <c r="W456">
        <v>18</v>
      </c>
    </row>
    <row r="457" spans="1:23">
      <c r="A457"/>
      <c r="B457" t="s">
        <v>75</v>
      </c>
      <c r="C457" t="s">
        <v>75</v>
      </c>
      <c r="D457" t="s">
        <v>33</v>
      </c>
      <c r="E457" t="s">
        <v>34</v>
      </c>
      <c r="F457" t="str">
        <f>"0014097"</f>
        <v>0014097</v>
      </c>
      <c r="G457">
        <v>1</v>
      </c>
      <c r="H457" t="str">
        <f>"00000001"</f>
        <v>00000001</v>
      </c>
      <c r="I457" t="s">
        <v>35</v>
      </c>
      <c r="J457"/>
      <c r="K457">
        <v>3.05</v>
      </c>
      <c r="L457">
        <v>0.0</v>
      </c>
      <c r="M457"/>
      <c r="N457"/>
      <c r="O457">
        <v>0.55</v>
      </c>
      <c r="P457">
        <v>0.0</v>
      </c>
      <c r="Q457">
        <v>3.6</v>
      </c>
      <c r="R457"/>
      <c r="S457"/>
      <c r="T457"/>
      <c r="U457"/>
      <c r="V457"/>
      <c r="W457">
        <v>18</v>
      </c>
    </row>
    <row r="458" spans="1:23">
      <c r="A458"/>
      <c r="B458" t="s">
        <v>75</v>
      </c>
      <c r="C458" t="s">
        <v>75</v>
      </c>
      <c r="D458" t="s">
        <v>33</v>
      </c>
      <c r="E458" t="s">
        <v>34</v>
      </c>
      <c r="F458" t="str">
        <f>"0014098"</f>
        <v>0014098</v>
      </c>
      <c r="G458">
        <v>1</v>
      </c>
      <c r="H458" t="str">
        <f>"00000001"</f>
        <v>00000001</v>
      </c>
      <c r="I458" t="s">
        <v>35</v>
      </c>
      <c r="J458"/>
      <c r="K458">
        <v>10.59</v>
      </c>
      <c r="L458">
        <v>0.0</v>
      </c>
      <c r="M458"/>
      <c r="N458"/>
      <c r="O458">
        <v>1.91</v>
      </c>
      <c r="P458">
        <v>0.0</v>
      </c>
      <c r="Q458">
        <v>12.5</v>
      </c>
      <c r="R458"/>
      <c r="S458"/>
      <c r="T458"/>
      <c r="U458"/>
      <c r="V458"/>
      <c r="W458">
        <v>18</v>
      </c>
    </row>
    <row r="459" spans="1:23">
      <c r="A459"/>
      <c r="B459" t="s">
        <v>75</v>
      </c>
      <c r="C459" t="s">
        <v>75</v>
      </c>
      <c r="D459" t="s">
        <v>33</v>
      </c>
      <c r="E459" t="s">
        <v>34</v>
      </c>
      <c r="F459" t="str">
        <f>"0014099"</f>
        <v>0014099</v>
      </c>
      <c r="G459">
        <v>1</v>
      </c>
      <c r="H459" t="str">
        <f>"00000001"</f>
        <v>00000001</v>
      </c>
      <c r="I459" t="s">
        <v>35</v>
      </c>
      <c r="J459"/>
      <c r="K459">
        <v>18.64</v>
      </c>
      <c r="L459">
        <v>0.0</v>
      </c>
      <c r="M459"/>
      <c r="N459"/>
      <c r="O459">
        <v>3.36</v>
      </c>
      <c r="P459">
        <v>0.0</v>
      </c>
      <c r="Q459">
        <v>22.0</v>
      </c>
      <c r="R459"/>
      <c r="S459"/>
      <c r="T459"/>
      <c r="U459"/>
      <c r="V459"/>
      <c r="W459">
        <v>18</v>
      </c>
    </row>
    <row r="460" spans="1:23">
      <c r="A460"/>
      <c r="B460" t="s">
        <v>75</v>
      </c>
      <c r="C460" t="s">
        <v>75</v>
      </c>
      <c r="D460" t="s">
        <v>33</v>
      </c>
      <c r="E460" t="s">
        <v>34</v>
      </c>
      <c r="F460" t="str">
        <f>"0014100"</f>
        <v>0014100</v>
      </c>
      <c r="G460">
        <v>1</v>
      </c>
      <c r="H460" t="str">
        <f>"00000001"</f>
        <v>00000001</v>
      </c>
      <c r="I460" t="s">
        <v>35</v>
      </c>
      <c r="J460"/>
      <c r="K460">
        <v>13.56</v>
      </c>
      <c r="L460">
        <v>0.0</v>
      </c>
      <c r="M460"/>
      <c r="N460"/>
      <c r="O460">
        <v>2.44</v>
      </c>
      <c r="P460">
        <v>0.0</v>
      </c>
      <c r="Q460">
        <v>16.0</v>
      </c>
      <c r="R460"/>
      <c r="S460"/>
      <c r="T460"/>
      <c r="U460"/>
      <c r="V460"/>
      <c r="W460">
        <v>18</v>
      </c>
    </row>
    <row r="461" spans="1:23">
      <c r="A461"/>
      <c r="B461" t="s">
        <v>75</v>
      </c>
      <c r="C461" t="s">
        <v>75</v>
      </c>
      <c r="D461" t="s">
        <v>33</v>
      </c>
      <c r="E461" t="s">
        <v>34</v>
      </c>
      <c r="F461" t="str">
        <f>"0014101"</f>
        <v>0014101</v>
      </c>
      <c r="G461">
        <v>6</v>
      </c>
      <c r="H461" t="str">
        <f>"20608580833"</f>
        <v>20608580833</v>
      </c>
      <c r="I461" t="s">
        <v>78</v>
      </c>
      <c r="J461"/>
      <c r="K461">
        <v>13.56</v>
      </c>
      <c r="L461">
        <v>0.0</v>
      </c>
      <c r="M461"/>
      <c r="N461"/>
      <c r="O461">
        <v>2.44</v>
      </c>
      <c r="P461">
        <v>0.0</v>
      </c>
      <c r="Q461">
        <v>16.0</v>
      </c>
      <c r="R461"/>
      <c r="S461"/>
      <c r="T461"/>
      <c r="U461"/>
      <c r="V461"/>
      <c r="W461">
        <v>18</v>
      </c>
    </row>
    <row r="462" spans="1:23">
      <c r="A462"/>
      <c r="B462" t="s">
        <v>75</v>
      </c>
      <c r="C462" t="s">
        <v>75</v>
      </c>
      <c r="D462" t="s">
        <v>33</v>
      </c>
      <c r="E462" t="s">
        <v>34</v>
      </c>
      <c r="F462" t="str">
        <f>"0014102"</f>
        <v>0014102</v>
      </c>
      <c r="G462">
        <v>1</v>
      </c>
      <c r="H462" t="str">
        <f>"00000001"</f>
        <v>00000001</v>
      </c>
      <c r="I462" t="s">
        <v>35</v>
      </c>
      <c r="J462"/>
      <c r="K462">
        <v>8.47</v>
      </c>
      <c r="L462">
        <v>0.0</v>
      </c>
      <c r="M462"/>
      <c r="N462"/>
      <c r="O462">
        <v>1.53</v>
      </c>
      <c r="P462">
        <v>0.0</v>
      </c>
      <c r="Q462">
        <v>10.0</v>
      </c>
      <c r="R462"/>
      <c r="S462"/>
      <c r="T462"/>
      <c r="U462"/>
      <c r="V462"/>
      <c r="W462">
        <v>18</v>
      </c>
    </row>
    <row r="463" spans="1:23">
      <c r="A463"/>
      <c r="B463" t="s">
        <v>75</v>
      </c>
      <c r="C463" t="s">
        <v>75</v>
      </c>
      <c r="D463" t="s">
        <v>33</v>
      </c>
      <c r="E463" t="s">
        <v>34</v>
      </c>
      <c r="F463" t="str">
        <f>"0014103"</f>
        <v>0014103</v>
      </c>
      <c r="G463">
        <v>1</v>
      </c>
      <c r="H463" t="str">
        <f>"00000001"</f>
        <v>00000001</v>
      </c>
      <c r="I463" t="s">
        <v>35</v>
      </c>
      <c r="J463"/>
      <c r="K463">
        <v>11.02</v>
      </c>
      <c r="L463">
        <v>0.0</v>
      </c>
      <c r="M463"/>
      <c r="N463"/>
      <c r="O463">
        <v>1.98</v>
      </c>
      <c r="P463">
        <v>0.0</v>
      </c>
      <c r="Q463">
        <v>13.0</v>
      </c>
      <c r="R463"/>
      <c r="S463"/>
      <c r="T463"/>
      <c r="U463"/>
      <c r="V463"/>
      <c r="W463">
        <v>18</v>
      </c>
    </row>
    <row r="464" spans="1:23">
      <c r="A464"/>
      <c r="B464" t="s">
        <v>75</v>
      </c>
      <c r="C464" t="s">
        <v>75</v>
      </c>
      <c r="D464" t="s">
        <v>33</v>
      </c>
      <c r="E464" t="s">
        <v>34</v>
      </c>
      <c r="F464" t="str">
        <f>"0014104"</f>
        <v>0014104</v>
      </c>
      <c r="G464">
        <v>1</v>
      </c>
      <c r="H464" t="str">
        <f>"00000001"</f>
        <v>00000001</v>
      </c>
      <c r="I464" t="s">
        <v>35</v>
      </c>
      <c r="J464"/>
      <c r="K464">
        <v>1.27</v>
      </c>
      <c r="L464">
        <v>0.0</v>
      </c>
      <c r="M464"/>
      <c r="N464"/>
      <c r="O464">
        <v>0.23</v>
      </c>
      <c r="P464">
        <v>0.0</v>
      </c>
      <c r="Q464">
        <v>1.5</v>
      </c>
      <c r="R464"/>
      <c r="S464"/>
      <c r="T464"/>
      <c r="U464"/>
      <c r="V464"/>
      <c r="W464">
        <v>18</v>
      </c>
    </row>
    <row r="465" spans="1:23">
      <c r="A465"/>
      <c r="B465" t="s">
        <v>75</v>
      </c>
      <c r="C465" t="s">
        <v>75</v>
      </c>
      <c r="D465" t="s">
        <v>33</v>
      </c>
      <c r="E465" t="s">
        <v>34</v>
      </c>
      <c r="F465" t="str">
        <f>"0014105"</f>
        <v>0014105</v>
      </c>
      <c r="G465">
        <v>1</v>
      </c>
      <c r="H465" t="str">
        <f>"00000001"</f>
        <v>00000001</v>
      </c>
      <c r="I465" t="s">
        <v>35</v>
      </c>
      <c r="J465"/>
      <c r="K465">
        <v>12.71</v>
      </c>
      <c r="L465">
        <v>0.0</v>
      </c>
      <c r="M465"/>
      <c r="N465"/>
      <c r="O465">
        <v>2.29</v>
      </c>
      <c r="P465">
        <v>0.0</v>
      </c>
      <c r="Q465">
        <v>15.0</v>
      </c>
      <c r="R465"/>
      <c r="S465"/>
      <c r="T465"/>
      <c r="U465"/>
      <c r="V465"/>
      <c r="W465">
        <v>18</v>
      </c>
    </row>
    <row r="466" spans="1:23">
      <c r="A466"/>
      <c r="B466" t="s">
        <v>75</v>
      </c>
      <c r="C466" t="s">
        <v>75</v>
      </c>
      <c r="D466" t="s">
        <v>33</v>
      </c>
      <c r="E466" t="s">
        <v>34</v>
      </c>
      <c r="F466" t="str">
        <f>"0014106"</f>
        <v>0014106</v>
      </c>
      <c r="G466">
        <v>1</v>
      </c>
      <c r="H466" t="str">
        <f>"00000001"</f>
        <v>00000001</v>
      </c>
      <c r="I466" t="s">
        <v>35</v>
      </c>
      <c r="J466"/>
      <c r="K466">
        <v>2.54</v>
      </c>
      <c r="L466">
        <v>0.0</v>
      </c>
      <c r="M466"/>
      <c r="N466"/>
      <c r="O466">
        <v>0.46</v>
      </c>
      <c r="P466">
        <v>0.0</v>
      </c>
      <c r="Q466">
        <v>3.0</v>
      </c>
      <c r="R466"/>
      <c r="S466"/>
      <c r="T466"/>
      <c r="U466"/>
      <c r="V466"/>
      <c r="W466">
        <v>18</v>
      </c>
    </row>
    <row r="467" spans="1:23">
      <c r="A467"/>
      <c r="B467" t="s">
        <v>79</v>
      </c>
      <c r="C467" t="s">
        <v>79</v>
      </c>
      <c r="D467" t="s">
        <v>33</v>
      </c>
      <c r="E467" t="s">
        <v>34</v>
      </c>
      <c r="F467" t="str">
        <f>"0014107"</f>
        <v>0014107</v>
      </c>
      <c r="G467">
        <v>1</v>
      </c>
      <c r="H467" t="str">
        <f>"00000001"</f>
        <v>00000001</v>
      </c>
      <c r="I467" t="s">
        <v>35</v>
      </c>
      <c r="J467"/>
      <c r="K467">
        <v>17.8</v>
      </c>
      <c r="L467">
        <v>0.0</v>
      </c>
      <c r="M467"/>
      <c r="N467"/>
      <c r="O467">
        <v>3.2</v>
      </c>
      <c r="P467">
        <v>0.0</v>
      </c>
      <c r="Q467">
        <v>21.0</v>
      </c>
      <c r="R467"/>
      <c r="S467"/>
      <c r="T467"/>
      <c r="U467"/>
      <c r="V467"/>
      <c r="W467">
        <v>18</v>
      </c>
    </row>
    <row r="468" spans="1:23">
      <c r="A468"/>
      <c r="B468" t="s">
        <v>79</v>
      </c>
      <c r="C468" t="s">
        <v>79</v>
      </c>
      <c r="D468" t="s">
        <v>33</v>
      </c>
      <c r="E468" t="s">
        <v>34</v>
      </c>
      <c r="F468" t="str">
        <f>"0014108"</f>
        <v>0014108</v>
      </c>
      <c r="G468">
        <v>1</v>
      </c>
      <c r="H468" t="str">
        <f>"00000001"</f>
        <v>00000001</v>
      </c>
      <c r="I468" t="s">
        <v>35</v>
      </c>
      <c r="J468"/>
      <c r="K468">
        <v>8.47</v>
      </c>
      <c r="L468">
        <v>0.0</v>
      </c>
      <c r="M468"/>
      <c r="N468"/>
      <c r="O468">
        <v>1.53</v>
      </c>
      <c r="P468">
        <v>0.0</v>
      </c>
      <c r="Q468">
        <v>10.0</v>
      </c>
      <c r="R468"/>
      <c r="S468"/>
      <c r="T468"/>
      <c r="U468"/>
      <c r="V468"/>
      <c r="W468">
        <v>18</v>
      </c>
    </row>
    <row r="469" spans="1:23">
      <c r="A469"/>
      <c r="B469" t="s">
        <v>79</v>
      </c>
      <c r="C469" t="s">
        <v>79</v>
      </c>
      <c r="D469" t="s">
        <v>33</v>
      </c>
      <c r="E469" t="s">
        <v>34</v>
      </c>
      <c r="F469" t="str">
        <f>"0014109"</f>
        <v>0014109</v>
      </c>
      <c r="G469">
        <v>1</v>
      </c>
      <c r="H469" t="str">
        <f>"00000001"</f>
        <v>00000001</v>
      </c>
      <c r="I469" t="s">
        <v>35</v>
      </c>
      <c r="J469"/>
      <c r="K469">
        <v>8.47</v>
      </c>
      <c r="L469">
        <v>0.0</v>
      </c>
      <c r="M469"/>
      <c r="N469"/>
      <c r="O469">
        <v>1.53</v>
      </c>
      <c r="P469">
        <v>0.0</v>
      </c>
      <c r="Q469">
        <v>10.0</v>
      </c>
      <c r="R469"/>
      <c r="S469"/>
      <c r="T469"/>
      <c r="U469"/>
      <c r="V469"/>
      <c r="W469">
        <v>18</v>
      </c>
    </row>
    <row r="470" spans="1:23">
      <c r="A470"/>
      <c r="B470" t="s">
        <v>79</v>
      </c>
      <c r="C470" t="s">
        <v>79</v>
      </c>
      <c r="D470" t="s">
        <v>33</v>
      </c>
      <c r="E470" t="s">
        <v>34</v>
      </c>
      <c r="F470" t="str">
        <f>"0014110"</f>
        <v>0014110</v>
      </c>
      <c r="G470">
        <v>1</v>
      </c>
      <c r="H470" t="str">
        <f>"00000001"</f>
        <v>00000001</v>
      </c>
      <c r="I470" t="s">
        <v>35</v>
      </c>
      <c r="J470"/>
      <c r="K470">
        <v>15.34</v>
      </c>
      <c r="L470">
        <v>0.0</v>
      </c>
      <c r="M470"/>
      <c r="N470"/>
      <c r="O470">
        <v>2.76</v>
      </c>
      <c r="P470">
        <v>0.0</v>
      </c>
      <c r="Q470">
        <v>18.1</v>
      </c>
      <c r="R470"/>
      <c r="S470"/>
      <c r="T470"/>
      <c r="U470"/>
      <c r="V470"/>
      <c r="W470">
        <v>18</v>
      </c>
    </row>
    <row r="471" spans="1:23">
      <c r="A471"/>
      <c r="B471" t="s">
        <v>79</v>
      </c>
      <c r="C471" t="s">
        <v>79</v>
      </c>
      <c r="D471" t="s">
        <v>33</v>
      </c>
      <c r="E471" t="s">
        <v>34</v>
      </c>
      <c r="F471" t="str">
        <f>"0014111"</f>
        <v>0014111</v>
      </c>
      <c r="G471">
        <v>1</v>
      </c>
      <c r="H471" t="str">
        <f>"00000001"</f>
        <v>00000001</v>
      </c>
      <c r="I471" t="s">
        <v>35</v>
      </c>
      <c r="J471"/>
      <c r="K471">
        <v>1.69</v>
      </c>
      <c r="L471">
        <v>0.0</v>
      </c>
      <c r="M471"/>
      <c r="N471"/>
      <c r="O471">
        <v>0.31</v>
      </c>
      <c r="P471">
        <v>0.0</v>
      </c>
      <c r="Q471">
        <v>2.0</v>
      </c>
      <c r="R471"/>
      <c r="S471"/>
      <c r="T471"/>
      <c r="U471"/>
      <c r="V471"/>
      <c r="W471">
        <v>18</v>
      </c>
    </row>
    <row r="472" spans="1:23">
      <c r="A472"/>
      <c r="B472" t="s">
        <v>79</v>
      </c>
      <c r="C472" t="s">
        <v>79</v>
      </c>
      <c r="D472" t="s">
        <v>40</v>
      </c>
      <c r="E472" t="s">
        <v>41</v>
      </c>
      <c r="F472" t="str">
        <f>"0001274"</f>
        <v>0001274</v>
      </c>
      <c r="G472">
        <v>6</v>
      </c>
      <c r="H472" t="str">
        <f>"20612701548"</f>
        <v>20612701548</v>
      </c>
      <c r="I472" t="s">
        <v>80</v>
      </c>
      <c r="J472"/>
      <c r="K472">
        <v>46.61</v>
      </c>
      <c r="L472">
        <v>0.0</v>
      </c>
      <c r="M472"/>
      <c r="N472"/>
      <c r="O472">
        <v>8.39</v>
      </c>
      <c r="P472">
        <v>0.0</v>
      </c>
      <c r="Q472">
        <v>55.0</v>
      </c>
      <c r="R472"/>
      <c r="S472"/>
      <c r="T472"/>
      <c r="U472"/>
      <c r="V472"/>
      <c r="W472">
        <v>18</v>
      </c>
    </row>
    <row r="473" spans="1:23">
      <c r="A473"/>
      <c r="B473" t="s">
        <v>79</v>
      </c>
      <c r="C473" t="s">
        <v>79</v>
      </c>
      <c r="D473" t="s">
        <v>40</v>
      </c>
      <c r="E473" t="s">
        <v>41</v>
      </c>
      <c r="F473" t="str">
        <f>"0001275"</f>
        <v>0001275</v>
      </c>
      <c r="G473">
        <v>6</v>
      </c>
      <c r="H473" t="str">
        <f>"20612701548"</f>
        <v>20612701548</v>
      </c>
      <c r="I473" t="s">
        <v>80</v>
      </c>
      <c r="J473"/>
      <c r="K473">
        <v>132.84</v>
      </c>
      <c r="L473">
        <v>0.0</v>
      </c>
      <c r="M473"/>
      <c r="N473"/>
      <c r="O473">
        <v>23.91</v>
      </c>
      <c r="P473">
        <v>0.0</v>
      </c>
      <c r="Q473">
        <v>156.75</v>
      </c>
      <c r="R473"/>
      <c r="S473"/>
      <c r="T473"/>
      <c r="U473"/>
      <c r="V473"/>
      <c r="W473">
        <v>18</v>
      </c>
    </row>
    <row r="474" spans="1:23">
      <c r="A474"/>
      <c r="B474" t="s">
        <v>79</v>
      </c>
      <c r="C474" t="s">
        <v>79</v>
      </c>
      <c r="D474" t="s">
        <v>33</v>
      </c>
      <c r="E474" t="s">
        <v>34</v>
      </c>
      <c r="F474" t="str">
        <f>"0014112"</f>
        <v>0014112</v>
      </c>
      <c r="G474">
        <v>1</v>
      </c>
      <c r="H474" t="str">
        <f>"00000001"</f>
        <v>00000001</v>
      </c>
      <c r="I474" t="s">
        <v>35</v>
      </c>
      <c r="J474"/>
      <c r="K474">
        <v>29.66</v>
      </c>
      <c r="L474">
        <v>0.0</v>
      </c>
      <c r="M474"/>
      <c r="N474"/>
      <c r="O474">
        <v>5.34</v>
      </c>
      <c r="P474">
        <v>0.0</v>
      </c>
      <c r="Q474">
        <v>35.0</v>
      </c>
      <c r="R474"/>
      <c r="S474"/>
      <c r="T474"/>
      <c r="U474"/>
      <c r="V474"/>
      <c r="W474">
        <v>18</v>
      </c>
    </row>
    <row r="475" spans="1:23">
      <c r="A475"/>
      <c r="B475" t="s">
        <v>79</v>
      </c>
      <c r="C475" t="s">
        <v>79</v>
      </c>
      <c r="D475" t="s">
        <v>40</v>
      </c>
      <c r="E475" t="s">
        <v>41</v>
      </c>
      <c r="F475" t="str">
        <f>"0001276"</f>
        <v>0001276</v>
      </c>
      <c r="G475">
        <v>6</v>
      </c>
      <c r="H475" t="str">
        <f>"20602050506"</f>
        <v>20602050506</v>
      </c>
      <c r="I475" t="s">
        <v>81</v>
      </c>
      <c r="J475"/>
      <c r="K475">
        <v>29.66</v>
      </c>
      <c r="L475">
        <v>0.0</v>
      </c>
      <c r="M475"/>
      <c r="N475"/>
      <c r="O475">
        <v>5.34</v>
      </c>
      <c r="P475">
        <v>0.0</v>
      </c>
      <c r="Q475">
        <v>35.0</v>
      </c>
      <c r="R475"/>
      <c r="S475"/>
      <c r="T475"/>
      <c r="U475"/>
      <c r="V475"/>
      <c r="W475">
        <v>18</v>
      </c>
    </row>
    <row r="476" spans="1:23">
      <c r="A476"/>
      <c r="B476" t="s">
        <v>79</v>
      </c>
      <c r="C476" t="s">
        <v>79</v>
      </c>
      <c r="D476" t="s">
        <v>33</v>
      </c>
      <c r="E476" t="s">
        <v>34</v>
      </c>
      <c r="F476" t="str">
        <f>"0014113"</f>
        <v>0014113</v>
      </c>
      <c r="G476">
        <v>1</v>
      </c>
      <c r="H476" t="str">
        <f>"00000001"</f>
        <v>00000001</v>
      </c>
      <c r="I476" t="s">
        <v>35</v>
      </c>
      <c r="J476"/>
      <c r="K476">
        <v>5.08</v>
      </c>
      <c r="L476">
        <v>0.0</v>
      </c>
      <c r="M476"/>
      <c r="N476"/>
      <c r="O476">
        <v>0.92</v>
      </c>
      <c r="P476">
        <v>0.0</v>
      </c>
      <c r="Q476">
        <v>6.0</v>
      </c>
      <c r="R476"/>
      <c r="S476"/>
      <c r="T476"/>
      <c r="U476"/>
      <c r="V476"/>
      <c r="W476">
        <v>18</v>
      </c>
    </row>
    <row r="477" spans="1:23">
      <c r="A477"/>
      <c r="B477" t="s">
        <v>79</v>
      </c>
      <c r="C477" t="s">
        <v>79</v>
      </c>
      <c r="D477" t="s">
        <v>33</v>
      </c>
      <c r="E477" t="s">
        <v>34</v>
      </c>
      <c r="F477" t="str">
        <f>"0014114"</f>
        <v>0014114</v>
      </c>
      <c r="G477">
        <v>1</v>
      </c>
      <c r="H477" t="str">
        <f>"00000001"</f>
        <v>00000001</v>
      </c>
      <c r="I477" t="s">
        <v>35</v>
      </c>
      <c r="J477"/>
      <c r="K477">
        <v>6.78</v>
      </c>
      <c r="L477">
        <v>0.0</v>
      </c>
      <c r="M477"/>
      <c r="N477"/>
      <c r="O477">
        <v>1.22</v>
      </c>
      <c r="P477">
        <v>0.0</v>
      </c>
      <c r="Q477">
        <v>8.0</v>
      </c>
      <c r="R477"/>
      <c r="S477"/>
      <c r="T477"/>
      <c r="U477"/>
      <c r="V477"/>
      <c r="W477">
        <v>18</v>
      </c>
    </row>
    <row r="478" spans="1:23">
      <c r="A478"/>
      <c r="B478" t="s">
        <v>79</v>
      </c>
      <c r="C478" t="s">
        <v>79</v>
      </c>
      <c r="D478" t="s">
        <v>33</v>
      </c>
      <c r="E478" t="s">
        <v>34</v>
      </c>
      <c r="F478" t="str">
        <f>"0014115"</f>
        <v>0014115</v>
      </c>
      <c r="G478">
        <v>1</v>
      </c>
      <c r="H478" t="str">
        <f>"00000001"</f>
        <v>00000001</v>
      </c>
      <c r="I478" t="s">
        <v>35</v>
      </c>
      <c r="J478"/>
      <c r="K478">
        <v>1.69</v>
      </c>
      <c r="L478">
        <v>0.0</v>
      </c>
      <c r="M478"/>
      <c r="N478"/>
      <c r="O478">
        <v>0.31</v>
      </c>
      <c r="P478">
        <v>0.0</v>
      </c>
      <c r="Q478">
        <v>2.0</v>
      </c>
      <c r="R478"/>
      <c r="S478"/>
      <c r="T478"/>
      <c r="U478"/>
      <c r="V478"/>
      <c r="W478">
        <v>18</v>
      </c>
    </row>
    <row r="479" spans="1:23">
      <c r="A479"/>
      <c r="B479" t="s">
        <v>79</v>
      </c>
      <c r="C479" t="s">
        <v>79</v>
      </c>
      <c r="D479" t="s">
        <v>33</v>
      </c>
      <c r="E479" t="s">
        <v>34</v>
      </c>
      <c r="F479" t="str">
        <f>"0014116"</f>
        <v>0014116</v>
      </c>
      <c r="G479">
        <v>1</v>
      </c>
      <c r="H479" t="str">
        <f>"00000001"</f>
        <v>00000001</v>
      </c>
      <c r="I479" t="s">
        <v>35</v>
      </c>
      <c r="J479"/>
      <c r="K479">
        <v>17.37</v>
      </c>
      <c r="L479">
        <v>0.0</v>
      </c>
      <c r="M479"/>
      <c r="N479"/>
      <c r="O479">
        <v>3.13</v>
      </c>
      <c r="P479">
        <v>0.0</v>
      </c>
      <c r="Q479">
        <v>20.5</v>
      </c>
      <c r="R479"/>
      <c r="S479"/>
      <c r="T479"/>
      <c r="U479"/>
      <c r="V479"/>
      <c r="W479">
        <v>18</v>
      </c>
    </row>
    <row r="480" spans="1:23">
      <c r="A480"/>
      <c r="B480" t="s">
        <v>79</v>
      </c>
      <c r="C480" t="s">
        <v>79</v>
      </c>
      <c r="D480" t="s">
        <v>33</v>
      </c>
      <c r="E480" t="s">
        <v>34</v>
      </c>
      <c r="F480" t="str">
        <f>"0014117"</f>
        <v>0014117</v>
      </c>
      <c r="G480">
        <v>1</v>
      </c>
      <c r="H480" t="str">
        <f>"00000001"</f>
        <v>00000001</v>
      </c>
      <c r="I480" t="s">
        <v>35</v>
      </c>
      <c r="J480"/>
      <c r="K480">
        <v>207.63</v>
      </c>
      <c r="L480">
        <v>0.0</v>
      </c>
      <c r="M480"/>
      <c r="N480"/>
      <c r="O480">
        <v>37.37</v>
      </c>
      <c r="P480">
        <v>0.0</v>
      </c>
      <c r="Q480">
        <v>245.0</v>
      </c>
      <c r="R480"/>
      <c r="S480"/>
      <c r="T480"/>
      <c r="U480"/>
      <c r="V480"/>
      <c r="W480">
        <v>18</v>
      </c>
    </row>
    <row r="481" spans="1:23">
      <c r="A481"/>
      <c r="B481" t="s">
        <v>79</v>
      </c>
      <c r="C481" t="s">
        <v>79</v>
      </c>
      <c r="D481" t="s">
        <v>33</v>
      </c>
      <c r="E481" t="s">
        <v>34</v>
      </c>
      <c r="F481" t="str">
        <f>"0014118"</f>
        <v>0014118</v>
      </c>
      <c r="G481">
        <v>1</v>
      </c>
      <c r="H481" t="str">
        <f>"00000001"</f>
        <v>00000001</v>
      </c>
      <c r="I481" t="s">
        <v>35</v>
      </c>
      <c r="J481"/>
      <c r="K481">
        <v>8.47</v>
      </c>
      <c r="L481">
        <v>0.0</v>
      </c>
      <c r="M481"/>
      <c r="N481"/>
      <c r="O481">
        <v>1.53</v>
      </c>
      <c r="P481">
        <v>0.0</v>
      </c>
      <c r="Q481">
        <v>10.0</v>
      </c>
      <c r="R481"/>
      <c r="S481"/>
      <c r="T481"/>
      <c r="U481"/>
      <c r="V481"/>
      <c r="W481">
        <v>18</v>
      </c>
    </row>
    <row r="482" spans="1:23">
      <c r="A482"/>
      <c r="B482" t="s">
        <v>79</v>
      </c>
      <c r="C482" t="s">
        <v>79</v>
      </c>
      <c r="D482" t="s">
        <v>33</v>
      </c>
      <c r="E482" t="s">
        <v>34</v>
      </c>
      <c r="F482" t="str">
        <f>"0014119"</f>
        <v>0014119</v>
      </c>
      <c r="G482">
        <v>1</v>
      </c>
      <c r="H482" t="str">
        <f>"00000001"</f>
        <v>00000001</v>
      </c>
      <c r="I482" t="s">
        <v>35</v>
      </c>
      <c r="J482"/>
      <c r="K482">
        <v>1.69</v>
      </c>
      <c r="L482">
        <v>0.0</v>
      </c>
      <c r="M482"/>
      <c r="N482"/>
      <c r="O482">
        <v>0.31</v>
      </c>
      <c r="P482">
        <v>0.0</v>
      </c>
      <c r="Q482">
        <v>2.0</v>
      </c>
      <c r="R482"/>
      <c r="S482"/>
      <c r="T482"/>
      <c r="U482"/>
      <c r="V482"/>
      <c r="W482">
        <v>18</v>
      </c>
    </row>
    <row r="483" spans="1:23">
      <c r="A483"/>
      <c r="B483" t="s">
        <v>79</v>
      </c>
      <c r="C483" t="s">
        <v>79</v>
      </c>
      <c r="D483" t="s">
        <v>33</v>
      </c>
      <c r="E483" t="s">
        <v>34</v>
      </c>
      <c r="F483" t="str">
        <f>"0014120"</f>
        <v>0014120</v>
      </c>
      <c r="G483">
        <v>1</v>
      </c>
      <c r="H483" t="str">
        <f>"00000001"</f>
        <v>00000001</v>
      </c>
      <c r="I483" t="s">
        <v>35</v>
      </c>
      <c r="J483"/>
      <c r="K483">
        <v>5.93</v>
      </c>
      <c r="L483">
        <v>0.0</v>
      </c>
      <c r="M483"/>
      <c r="N483"/>
      <c r="O483">
        <v>1.07</v>
      </c>
      <c r="P483">
        <v>0.0</v>
      </c>
      <c r="Q483">
        <v>7.0</v>
      </c>
      <c r="R483"/>
      <c r="S483"/>
      <c r="T483"/>
      <c r="U483"/>
      <c r="V483"/>
      <c r="W483">
        <v>18</v>
      </c>
    </row>
    <row r="484" spans="1:23">
      <c r="A484"/>
      <c r="B484" t="s">
        <v>79</v>
      </c>
      <c r="C484" t="s">
        <v>79</v>
      </c>
      <c r="D484" t="s">
        <v>33</v>
      </c>
      <c r="E484" t="s">
        <v>34</v>
      </c>
      <c r="F484" t="str">
        <f>"0014121"</f>
        <v>0014121</v>
      </c>
      <c r="G484">
        <v>1</v>
      </c>
      <c r="H484" t="str">
        <f>"00000001"</f>
        <v>00000001</v>
      </c>
      <c r="I484" t="s">
        <v>35</v>
      </c>
      <c r="J484"/>
      <c r="K484">
        <v>12.71</v>
      </c>
      <c r="L484">
        <v>0.0</v>
      </c>
      <c r="M484"/>
      <c r="N484"/>
      <c r="O484">
        <v>2.29</v>
      </c>
      <c r="P484">
        <v>0.0</v>
      </c>
      <c r="Q484">
        <v>15.0</v>
      </c>
      <c r="R484"/>
      <c r="S484"/>
      <c r="T484"/>
      <c r="U484"/>
      <c r="V484"/>
      <c r="W484">
        <v>18</v>
      </c>
    </row>
    <row r="485" spans="1:23">
      <c r="A485"/>
      <c r="B485" t="s">
        <v>79</v>
      </c>
      <c r="C485" t="s">
        <v>79</v>
      </c>
      <c r="D485" t="s">
        <v>33</v>
      </c>
      <c r="E485" t="s">
        <v>34</v>
      </c>
      <c r="F485" t="str">
        <f>"0014122"</f>
        <v>0014122</v>
      </c>
      <c r="G485">
        <v>1</v>
      </c>
      <c r="H485" t="str">
        <f>"CSC00000"</f>
        <v>CSC00000</v>
      </c>
      <c r="I485" t="s">
        <v>64</v>
      </c>
      <c r="J485"/>
      <c r="K485">
        <v>7.63</v>
      </c>
      <c r="L485">
        <v>0.0</v>
      </c>
      <c r="M485"/>
      <c r="N485"/>
      <c r="O485">
        <v>1.37</v>
      </c>
      <c r="P485">
        <v>0.0</v>
      </c>
      <c r="Q485">
        <v>9.0</v>
      </c>
      <c r="R485"/>
      <c r="S485"/>
      <c r="T485"/>
      <c r="U485"/>
      <c r="V485"/>
      <c r="W485">
        <v>18</v>
      </c>
    </row>
    <row r="486" spans="1:23">
      <c r="A486"/>
      <c r="B486" t="s">
        <v>79</v>
      </c>
      <c r="C486" t="s">
        <v>79</v>
      </c>
      <c r="D486" t="s">
        <v>33</v>
      </c>
      <c r="E486" t="s">
        <v>34</v>
      </c>
      <c r="F486" t="str">
        <f>"0014123"</f>
        <v>0014123</v>
      </c>
      <c r="G486">
        <v>1</v>
      </c>
      <c r="H486" t="str">
        <f>"00000001"</f>
        <v>00000001</v>
      </c>
      <c r="I486" t="s">
        <v>35</v>
      </c>
      <c r="J486"/>
      <c r="K486">
        <v>9.75</v>
      </c>
      <c r="L486">
        <v>0.0</v>
      </c>
      <c r="M486"/>
      <c r="N486"/>
      <c r="O486">
        <v>1.75</v>
      </c>
      <c r="P486">
        <v>0.0</v>
      </c>
      <c r="Q486">
        <v>11.5</v>
      </c>
      <c r="R486"/>
      <c r="S486"/>
      <c r="T486"/>
      <c r="U486"/>
      <c r="V486"/>
      <c r="W486">
        <v>18</v>
      </c>
    </row>
    <row r="487" spans="1:23">
      <c r="A487"/>
      <c r="B487" t="s">
        <v>79</v>
      </c>
      <c r="C487" t="s">
        <v>79</v>
      </c>
      <c r="D487" t="s">
        <v>33</v>
      </c>
      <c r="E487" t="s">
        <v>34</v>
      </c>
      <c r="F487" t="str">
        <f>"0014124"</f>
        <v>0014124</v>
      </c>
      <c r="G487">
        <v>1</v>
      </c>
      <c r="H487" t="str">
        <f>"00000001"</f>
        <v>00000001</v>
      </c>
      <c r="I487" t="s">
        <v>35</v>
      </c>
      <c r="J487"/>
      <c r="K487">
        <v>10.59</v>
      </c>
      <c r="L487">
        <v>0.0</v>
      </c>
      <c r="M487"/>
      <c r="N487"/>
      <c r="O487">
        <v>1.91</v>
      </c>
      <c r="P487">
        <v>0.0</v>
      </c>
      <c r="Q487">
        <v>12.5</v>
      </c>
      <c r="R487"/>
      <c r="S487"/>
      <c r="T487"/>
      <c r="U487"/>
      <c r="V487"/>
      <c r="W487">
        <v>18</v>
      </c>
    </row>
    <row r="488" spans="1:23">
      <c r="A488"/>
      <c r="B488" t="s">
        <v>79</v>
      </c>
      <c r="C488" t="s">
        <v>79</v>
      </c>
      <c r="D488" t="s">
        <v>33</v>
      </c>
      <c r="E488" t="s">
        <v>34</v>
      </c>
      <c r="F488" t="str">
        <f>"0014125"</f>
        <v>0014125</v>
      </c>
      <c r="G488">
        <v>1</v>
      </c>
      <c r="H488" t="str">
        <f>"00000001"</f>
        <v>00000001</v>
      </c>
      <c r="I488" t="s">
        <v>35</v>
      </c>
      <c r="J488"/>
      <c r="K488">
        <v>14.41</v>
      </c>
      <c r="L488">
        <v>0.0</v>
      </c>
      <c r="M488"/>
      <c r="N488"/>
      <c r="O488">
        <v>2.59</v>
      </c>
      <c r="P488">
        <v>0.0</v>
      </c>
      <c r="Q488">
        <v>17.0</v>
      </c>
      <c r="R488"/>
      <c r="S488"/>
      <c r="T488"/>
      <c r="U488"/>
      <c r="V488"/>
      <c r="W488">
        <v>18</v>
      </c>
    </row>
    <row r="489" spans="1:23">
      <c r="A489"/>
      <c r="B489" t="s">
        <v>79</v>
      </c>
      <c r="C489" t="s">
        <v>79</v>
      </c>
      <c r="D489" t="s">
        <v>33</v>
      </c>
      <c r="E489" t="s">
        <v>34</v>
      </c>
      <c r="F489" t="str">
        <f>"0014126"</f>
        <v>0014126</v>
      </c>
      <c r="G489">
        <v>1</v>
      </c>
      <c r="H489" t="str">
        <f>"00000001"</f>
        <v>00000001</v>
      </c>
      <c r="I489" t="s">
        <v>35</v>
      </c>
      <c r="J489"/>
      <c r="K489">
        <v>4.24</v>
      </c>
      <c r="L489">
        <v>0.0</v>
      </c>
      <c r="M489"/>
      <c r="N489"/>
      <c r="O489">
        <v>0.76</v>
      </c>
      <c r="P489">
        <v>0.0</v>
      </c>
      <c r="Q489">
        <v>5.0</v>
      </c>
      <c r="R489"/>
      <c r="S489"/>
      <c r="T489"/>
      <c r="U489"/>
      <c r="V489"/>
      <c r="W489">
        <v>18</v>
      </c>
    </row>
    <row r="490" spans="1:23">
      <c r="A490"/>
      <c r="B490" t="s">
        <v>79</v>
      </c>
      <c r="C490" t="s">
        <v>79</v>
      </c>
      <c r="D490" t="s">
        <v>33</v>
      </c>
      <c r="E490" t="s">
        <v>34</v>
      </c>
      <c r="F490" t="str">
        <f>"0014127"</f>
        <v>0014127</v>
      </c>
      <c r="G490">
        <v>1</v>
      </c>
      <c r="H490" t="str">
        <f>"00000001"</f>
        <v>00000001</v>
      </c>
      <c r="I490" t="s">
        <v>35</v>
      </c>
      <c r="J490"/>
      <c r="K490">
        <v>33.9</v>
      </c>
      <c r="L490">
        <v>0.0</v>
      </c>
      <c r="M490"/>
      <c r="N490"/>
      <c r="O490">
        <v>6.1</v>
      </c>
      <c r="P490">
        <v>0.0</v>
      </c>
      <c r="Q490">
        <v>40.0</v>
      </c>
      <c r="R490"/>
      <c r="S490"/>
      <c r="T490"/>
      <c r="U490"/>
      <c r="V490"/>
      <c r="W490">
        <v>18</v>
      </c>
    </row>
    <row r="491" spans="1:23">
      <c r="A491"/>
      <c r="B491" t="s">
        <v>79</v>
      </c>
      <c r="C491" t="s">
        <v>79</v>
      </c>
      <c r="D491" t="s">
        <v>33</v>
      </c>
      <c r="E491" t="s">
        <v>34</v>
      </c>
      <c r="F491" t="str">
        <f>"0014128"</f>
        <v>0014128</v>
      </c>
      <c r="G491">
        <v>6</v>
      </c>
      <c r="H491" t="str">
        <f>"20612701548"</f>
        <v>20612701548</v>
      </c>
      <c r="I491" t="s">
        <v>80</v>
      </c>
      <c r="J491"/>
      <c r="K491">
        <v>38.81</v>
      </c>
      <c r="L491">
        <v>0.0</v>
      </c>
      <c r="M491"/>
      <c r="N491"/>
      <c r="O491">
        <v>6.99</v>
      </c>
      <c r="P491">
        <v>0.0</v>
      </c>
      <c r="Q491">
        <v>45.8</v>
      </c>
      <c r="R491"/>
      <c r="S491"/>
      <c r="T491"/>
      <c r="U491"/>
      <c r="V491"/>
      <c r="W491">
        <v>18</v>
      </c>
    </row>
    <row r="492" spans="1:23">
      <c r="A492"/>
      <c r="B492" t="s">
        <v>79</v>
      </c>
      <c r="C492" t="s">
        <v>79</v>
      </c>
      <c r="D492" t="s">
        <v>33</v>
      </c>
      <c r="E492" t="s">
        <v>34</v>
      </c>
      <c r="F492" t="str">
        <f>"0014129"</f>
        <v>0014129</v>
      </c>
      <c r="G492">
        <v>6</v>
      </c>
      <c r="H492" t="str">
        <f>"20612701548"</f>
        <v>20612701548</v>
      </c>
      <c r="I492" t="s">
        <v>80</v>
      </c>
      <c r="J492"/>
      <c r="K492">
        <v>30.34</v>
      </c>
      <c r="L492">
        <v>0.0</v>
      </c>
      <c r="M492"/>
      <c r="N492"/>
      <c r="O492">
        <v>5.46</v>
      </c>
      <c r="P492">
        <v>0.0</v>
      </c>
      <c r="Q492">
        <v>35.8</v>
      </c>
      <c r="R492"/>
      <c r="S492"/>
      <c r="T492"/>
      <c r="U492"/>
      <c r="V492"/>
      <c r="W492">
        <v>18</v>
      </c>
    </row>
    <row r="493" spans="1:23">
      <c r="A493"/>
      <c r="B493" t="s">
        <v>79</v>
      </c>
      <c r="C493" t="s">
        <v>79</v>
      </c>
      <c r="D493" t="s">
        <v>33</v>
      </c>
      <c r="E493" t="s">
        <v>34</v>
      </c>
      <c r="F493" t="str">
        <f>"0014130"</f>
        <v>0014130</v>
      </c>
      <c r="G493">
        <v>6</v>
      </c>
      <c r="H493" t="str">
        <f>"20612701548"</f>
        <v>20612701548</v>
      </c>
      <c r="I493" t="s">
        <v>80</v>
      </c>
      <c r="J493"/>
      <c r="K493">
        <v>30.34</v>
      </c>
      <c r="L493">
        <v>0.0</v>
      </c>
      <c r="M493"/>
      <c r="N493"/>
      <c r="O493">
        <v>5.46</v>
      </c>
      <c r="P493">
        <v>0.0</v>
      </c>
      <c r="Q493">
        <v>35.8</v>
      </c>
      <c r="R493"/>
      <c r="S493"/>
      <c r="T493"/>
      <c r="U493"/>
      <c r="V493"/>
      <c r="W493">
        <v>18</v>
      </c>
    </row>
    <row r="494" spans="1:23">
      <c r="A494"/>
      <c r="B494" t="s">
        <v>79</v>
      </c>
      <c r="C494" t="s">
        <v>79</v>
      </c>
      <c r="D494" t="s">
        <v>33</v>
      </c>
      <c r="E494" t="s">
        <v>34</v>
      </c>
      <c r="F494" t="str">
        <f>"0014131"</f>
        <v>0014131</v>
      </c>
      <c r="G494">
        <v>1</v>
      </c>
      <c r="H494" t="str">
        <f>"00000001"</f>
        <v>00000001</v>
      </c>
      <c r="I494" t="s">
        <v>35</v>
      </c>
      <c r="J494"/>
      <c r="K494">
        <v>15.25</v>
      </c>
      <c r="L494">
        <v>0.0</v>
      </c>
      <c r="M494"/>
      <c r="N494"/>
      <c r="O494">
        <v>2.75</v>
      </c>
      <c r="P494">
        <v>0.0</v>
      </c>
      <c r="Q494">
        <v>18.0</v>
      </c>
      <c r="R494"/>
      <c r="S494"/>
      <c r="T494"/>
      <c r="U494"/>
      <c r="V494"/>
      <c r="W494">
        <v>18</v>
      </c>
    </row>
    <row r="495" spans="1:23">
      <c r="A495"/>
      <c r="B495" t="s">
        <v>79</v>
      </c>
      <c r="C495" t="s">
        <v>79</v>
      </c>
      <c r="D495" t="s">
        <v>33</v>
      </c>
      <c r="E495" t="s">
        <v>34</v>
      </c>
      <c r="F495" t="str">
        <f>"0014132"</f>
        <v>0014132</v>
      </c>
      <c r="G495">
        <v>1</v>
      </c>
      <c r="H495" t="str">
        <f>"00000001"</f>
        <v>00000001</v>
      </c>
      <c r="I495" t="s">
        <v>35</v>
      </c>
      <c r="J495"/>
      <c r="K495">
        <v>5.93</v>
      </c>
      <c r="L495">
        <v>0.0</v>
      </c>
      <c r="M495"/>
      <c r="N495"/>
      <c r="O495">
        <v>1.07</v>
      </c>
      <c r="P495">
        <v>0.0</v>
      </c>
      <c r="Q495">
        <v>7.0</v>
      </c>
      <c r="R495"/>
      <c r="S495"/>
      <c r="T495"/>
      <c r="U495"/>
      <c r="V495"/>
      <c r="W495">
        <v>18</v>
      </c>
    </row>
    <row r="496" spans="1:23">
      <c r="A496"/>
      <c r="B496" t="s">
        <v>79</v>
      </c>
      <c r="C496" t="s">
        <v>79</v>
      </c>
      <c r="D496" t="s">
        <v>33</v>
      </c>
      <c r="E496" t="s">
        <v>34</v>
      </c>
      <c r="F496" t="str">
        <f>"0014133"</f>
        <v>0014133</v>
      </c>
      <c r="G496">
        <v>1</v>
      </c>
      <c r="H496" t="str">
        <f>"00000001"</f>
        <v>00000001</v>
      </c>
      <c r="I496" t="s">
        <v>35</v>
      </c>
      <c r="J496"/>
      <c r="K496">
        <v>2.54</v>
      </c>
      <c r="L496">
        <v>0.0</v>
      </c>
      <c r="M496"/>
      <c r="N496"/>
      <c r="O496">
        <v>0.46</v>
      </c>
      <c r="P496">
        <v>0.0</v>
      </c>
      <c r="Q496">
        <v>3.0</v>
      </c>
      <c r="R496"/>
      <c r="S496"/>
      <c r="T496"/>
      <c r="U496"/>
      <c r="V496"/>
      <c r="W496">
        <v>18</v>
      </c>
    </row>
    <row r="497" spans="1:23">
      <c r="A497"/>
      <c r="B497" t="s">
        <v>79</v>
      </c>
      <c r="C497" t="s">
        <v>79</v>
      </c>
      <c r="D497" t="s">
        <v>33</v>
      </c>
      <c r="E497" t="s">
        <v>34</v>
      </c>
      <c r="F497" t="str">
        <f>"0014134"</f>
        <v>0014134</v>
      </c>
      <c r="G497">
        <v>1</v>
      </c>
      <c r="H497" t="str">
        <f>"00000001"</f>
        <v>00000001</v>
      </c>
      <c r="I497" t="s">
        <v>35</v>
      </c>
      <c r="J497"/>
      <c r="K497">
        <v>11.44</v>
      </c>
      <c r="L497">
        <v>0.0</v>
      </c>
      <c r="M497"/>
      <c r="N497"/>
      <c r="O497">
        <v>2.06</v>
      </c>
      <c r="P497">
        <v>0.0</v>
      </c>
      <c r="Q497">
        <v>13.5</v>
      </c>
      <c r="R497"/>
      <c r="S497"/>
      <c r="T497"/>
      <c r="U497"/>
      <c r="V497"/>
      <c r="W497">
        <v>18</v>
      </c>
    </row>
    <row r="498" spans="1:23">
      <c r="A498"/>
      <c r="B498" t="s">
        <v>79</v>
      </c>
      <c r="C498" t="s">
        <v>79</v>
      </c>
      <c r="D498" t="s">
        <v>33</v>
      </c>
      <c r="E498" t="s">
        <v>34</v>
      </c>
      <c r="F498" t="str">
        <f>"0014135"</f>
        <v>0014135</v>
      </c>
      <c r="G498">
        <v>6</v>
      </c>
      <c r="H498" t="str">
        <f>"20608473174"</f>
        <v>20608473174</v>
      </c>
      <c r="I498" t="s">
        <v>82</v>
      </c>
      <c r="J498"/>
      <c r="K498">
        <v>25.42</v>
      </c>
      <c r="L498">
        <v>0.0</v>
      </c>
      <c r="M498"/>
      <c r="N498"/>
      <c r="O498">
        <v>4.58</v>
      </c>
      <c r="P498">
        <v>0.0</v>
      </c>
      <c r="Q498">
        <v>30.0</v>
      </c>
      <c r="R498"/>
      <c r="S498"/>
      <c r="T498"/>
      <c r="U498"/>
      <c r="V498"/>
      <c r="W498">
        <v>18</v>
      </c>
    </row>
    <row r="499" spans="1:23">
      <c r="A499"/>
      <c r="B499" t="s">
        <v>79</v>
      </c>
      <c r="C499" t="s">
        <v>79</v>
      </c>
      <c r="D499" t="s">
        <v>33</v>
      </c>
      <c r="E499" t="s">
        <v>34</v>
      </c>
      <c r="F499" t="str">
        <f>"0014136"</f>
        <v>0014136</v>
      </c>
      <c r="G499">
        <v>6</v>
      </c>
      <c r="H499" t="str">
        <f>"20610600787"</f>
        <v>20610600787</v>
      </c>
      <c r="I499" t="s">
        <v>56</v>
      </c>
      <c r="J499"/>
      <c r="K499">
        <v>81.19</v>
      </c>
      <c r="L499">
        <v>0.0</v>
      </c>
      <c r="M499"/>
      <c r="N499"/>
      <c r="O499">
        <v>14.61</v>
      </c>
      <c r="P499">
        <v>0.0</v>
      </c>
      <c r="Q499">
        <v>95.8</v>
      </c>
      <c r="R499"/>
      <c r="S499"/>
      <c r="T499"/>
      <c r="U499"/>
      <c r="V499"/>
      <c r="W499">
        <v>18</v>
      </c>
    </row>
    <row r="500" spans="1:23">
      <c r="A500"/>
      <c r="B500" t="s">
        <v>79</v>
      </c>
      <c r="C500" t="s">
        <v>79</v>
      </c>
      <c r="D500" t="s">
        <v>33</v>
      </c>
      <c r="E500" t="s">
        <v>34</v>
      </c>
      <c r="F500" t="str">
        <f>"0014137"</f>
        <v>0014137</v>
      </c>
      <c r="G500">
        <v>1</v>
      </c>
      <c r="H500" t="str">
        <f>"00000001"</f>
        <v>00000001</v>
      </c>
      <c r="I500" t="s">
        <v>35</v>
      </c>
      <c r="J500"/>
      <c r="K500">
        <v>10.17</v>
      </c>
      <c r="L500">
        <v>0.0</v>
      </c>
      <c r="M500"/>
      <c r="N500"/>
      <c r="O500">
        <v>1.83</v>
      </c>
      <c r="P500">
        <v>0.0</v>
      </c>
      <c r="Q500">
        <v>12.0</v>
      </c>
      <c r="R500"/>
      <c r="S500"/>
      <c r="T500"/>
      <c r="U500"/>
      <c r="V500"/>
      <c r="W500">
        <v>18</v>
      </c>
    </row>
    <row r="501" spans="1:23">
      <c r="A501"/>
      <c r="B501" t="s">
        <v>79</v>
      </c>
      <c r="C501" t="s">
        <v>79</v>
      </c>
      <c r="D501" t="s">
        <v>33</v>
      </c>
      <c r="E501" t="s">
        <v>34</v>
      </c>
      <c r="F501" t="str">
        <f>"0014138"</f>
        <v>0014138</v>
      </c>
      <c r="G501">
        <v>6</v>
      </c>
      <c r="H501" t="str">
        <f>"20610600787"</f>
        <v>20610600787</v>
      </c>
      <c r="I501" t="s">
        <v>56</v>
      </c>
      <c r="J501"/>
      <c r="K501">
        <v>81.19</v>
      </c>
      <c r="L501">
        <v>0.0</v>
      </c>
      <c r="M501"/>
      <c r="N501"/>
      <c r="O501">
        <v>14.61</v>
      </c>
      <c r="P501">
        <v>0.0</v>
      </c>
      <c r="Q501">
        <v>95.8</v>
      </c>
      <c r="R501"/>
      <c r="S501"/>
      <c r="T501"/>
      <c r="U501"/>
      <c r="V501"/>
      <c r="W501">
        <v>18</v>
      </c>
    </row>
    <row r="502" spans="1:23">
      <c r="A502"/>
      <c r="B502" t="s">
        <v>79</v>
      </c>
      <c r="C502" t="s">
        <v>79</v>
      </c>
      <c r="D502" t="s">
        <v>33</v>
      </c>
      <c r="E502" t="s">
        <v>34</v>
      </c>
      <c r="F502" t="str">
        <f>"0014139"</f>
        <v>0014139</v>
      </c>
      <c r="G502">
        <v>1</v>
      </c>
      <c r="H502" t="str">
        <f>"00000001"</f>
        <v>00000001</v>
      </c>
      <c r="I502" t="s">
        <v>35</v>
      </c>
      <c r="J502"/>
      <c r="K502">
        <v>15.25</v>
      </c>
      <c r="L502">
        <v>0.0</v>
      </c>
      <c r="M502"/>
      <c r="N502"/>
      <c r="O502">
        <v>2.75</v>
      </c>
      <c r="P502">
        <v>0.0</v>
      </c>
      <c r="Q502">
        <v>18.0</v>
      </c>
      <c r="R502"/>
      <c r="S502"/>
      <c r="T502"/>
      <c r="U502"/>
      <c r="V502"/>
      <c r="W502">
        <v>18</v>
      </c>
    </row>
    <row r="503" spans="1:23">
      <c r="A503"/>
      <c r="B503" t="s">
        <v>79</v>
      </c>
      <c r="C503" t="s">
        <v>79</v>
      </c>
      <c r="D503" t="s">
        <v>33</v>
      </c>
      <c r="E503" t="s">
        <v>34</v>
      </c>
      <c r="F503" t="str">
        <f>"0014140"</f>
        <v>0014140</v>
      </c>
      <c r="G503">
        <v>1</v>
      </c>
      <c r="H503" t="str">
        <f>"00000001"</f>
        <v>00000001</v>
      </c>
      <c r="I503" t="s">
        <v>35</v>
      </c>
      <c r="J503"/>
      <c r="K503">
        <v>12.71</v>
      </c>
      <c r="L503">
        <v>0.0</v>
      </c>
      <c r="M503"/>
      <c r="N503"/>
      <c r="O503">
        <v>2.29</v>
      </c>
      <c r="P503">
        <v>0.0</v>
      </c>
      <c r="Q503">
        <v>15.0</v>
      </c>
      <c r="R503"/>
      <c r="S503"/>
      <c r="T503"/>
      <c r="U503"/>
      <c r="V503"/>
      <c r="W503">
        <v>18</v>
      </c>
    </row>
    <row r="504" spans="1:23">
      <c r="A504"/>
      <c r="B504" t="s">
        <v>79</v>
      </c>
      <c r="C504" t="s">
        <v>79</v>
      </c>
      <c r="D504" t="s">
        <v>33</v>
      </c>
      <c r="E504" t="s">
        <v>34</v>
      </c>
      <c r="F504" t="str">
        <f>"0014141"</f>
        <v>0014141</v>
      </c>
      <c r="G504">
        <v>1</v>
      </c>
      <c r="H504" t="str">
        <f>"00000001"</f>
        <v>00000001</v>
      </c>
      <c r="I504" t="s">
        <v>35</v>
      </c>
      <c r="J504"/>
      <c r="K504">
        <v>8.47</v>
      </c>
      <c r="L504">
        <v>0.0</v>
      </c>
      <c r="M504"/>
      <c r="N504"/>
      <c r="O504">
        <v>1.53</v>
      </c>
      <c r="P504">
        <v>0.0</v>
      </c>
      <c r="Q504">
        <v>10.0</v>
      </c>
      <c r="R504"/>
      <c r="S504"/>
      <c r="T504"/>
      <c r="U504"/>
      <c r="V504"/>
      <c r="W504">
        <v>18</v>
      </c>
    </row>
    <row r="505" spans="1:23">
      <c r="A505"/>
      <c r="B505" t="s">
        <v>79</v>
      </c>
      <c r="C505" t="s">
        <v>79</v>
      </c>
      <c r="D505" t="s">
        <v>33</v>
      </c>
      <c r="E505" t="s">
        <v>34</v>
      </c>
      <c r="F505" t="str">
        <f>"0014142"</f>
        <v>0014142</v>
      </c>
      <c r="G505">
        <v>1</v>
      </c>
      <c r="H505" t="str">
        <f>"00000001"</f>
        <v>00000001</v>
      </c>
      <c r="I505" t="s">
        <v>35</v>
      </c>
      <c r="J505"/>
      <c r="K505">
        <v>25.42</v>
      </c>
      <c r="L505">
        <v>0.0</v>
      </c>
      <c r="M505"/>
      <c r="N505"/>
      <c r="O505">
        <v>4.58</v>
      </c>
      <c r="P505">
        <v>0.0</v>
      </c>
      <c r="Q505">
        <v>30.0</v>
      </c>
      <c r="R505"/>
      <c r="S505"/>
      <c r="T505"/>
      <c r="U505"/>
      <c r="V505"/>
      <c r="W505">
        <v>18</v>
      </c>
    </row>
    <row r="506" spans="1:23">
      <c r="A506"/>
      <c r="B506" t="s">
        <v>79</v>
      </c>
      <c r="C506" t="s">
        <v>79</v>
      </c>
      <c r="D506" t="s">
        <v>33</v>
      </c>
      <c r="E506" t="s">
        <v>34</v>
      </c>
      <c r="F506" t="str">
        <f>"0014143"</f>
        <v>0014143</v>
      </c>
      <c r="G506">
        <v>1</v>
      </c>
      <c r="H506" t="str">
        <f>"00000001"</f>
        <v>00000001</v>
      </c>
      <c r="I506" t="s">
        <v>35</v>
      </c>
      <c r="J506"/>
      <c r="K506">
        <v>3.39</v>
      </c>
      <c r="L506">
        <v>0.0</v>
      </c>
      <c r="M506"/>
      <c r="N506"/>
      <c r="O506">
        <v>0.61</v>
      </c>
      <c r="P506">
        <v>0.0</v>
      </c>
      <c r="Q506">
        <v>4.0</v>
      </c>
      <c r="R506"/>
      <c r="S506"/>
      <c r="T506"/>
      <c r="U506"/>
      <c r="V506"/>
      <c r="W506">
        <v>18</v>
      </c>
    </row>
    <row r="507" spans="1:23">
      <c r="A507"/>
      <c r="B507" t="s">
        <v>79</v>
      </c>
      <c r="C507" t="s">
        <v>79</v>
      </c>
      <c r="D507" t="s">
        <v>33</v>
      </c>
      <c r="E507" t="s">
        <v>34</v>
      </c>
      <c r="F507" t="str">
        <f>"0014144"</f>
        <v>0014144</v>
      </c>
      <c r="G507">
        <v>1</v>
      </c>
      <c r="H507" t="str">
        <f>"00000001"</f>
        <v>00000001</v>
      </c>
      <c r="I507" t="s">
        <v>35</v>
      </c>
      <c r="J507"/>
      <c r="K507">
        <v>13.56</v>
      </c>
      <c r="L507">
        <v>0.0</v>
      </c>
      <c r="M507"/>
      <c r="N507"/>
      <c r="O507">
        <v>2.44</v>
      </c>
      <c r="P507">
        <v>0.0</v>
      </c>
      <c r="Q507">
        <v>16.0</v>
      </c>
      <c r="R507"/>
      <c r="S507"/>
      <c r="T507"/>
      <c r="U507"/>
      <c r="V507"/>
      <c r="W507">
        <v>18</v>
      </c>
    </row>
    <row r="508" spans="1:23">
      <c r="A508"/>
      <c r="B508" t="s">
        <v>79</v>
      </c>
      <c r="C508" t="s">
        <v>79</v>
      </c>
      <c r="D508" t="s">
        <v>33</v>
      </c>
      <c r="E508" t="s">
        <v>34</v>
      </c>
      <c r="F508" t="str">
        <f>"0014145"</f>
        <v>0014145</v>
      </c>
      <c r="G508">
        <v>6</v>
      </c>
      <c r="H508" t="str">
        <f>"20608580833"</f>
        <v>20608580833</v>
      </c>
      <c r="I508" t="s">
        <v>78</v>
      </c>
      <c r="J508"/>
      <c r="K508">
        <v>37.29</v>
      </c>
      <c r="L508">
        <v>0.0</v>
      </c>
      <c r="M508"/>
      <c r="N508"/>
      <c r="O508">
        <v>6.71</v>
      </c>
      <c r="P508">
        <v>0.0</v>
      </c>
      <c r="Q508">
        <v>44.0</v>
      </c>
      <c r="R508"/>
      <c r="S508"/>
      <c r="T508"/>
      <c r="U508"/>
      <c r="V508"/>
      <c r="W508">
        <v>18</v>
      </c>
    </row>
    <row r="509" spans="1:23">
      <c r="A509"/>
      <c r="B509" t="s">
        <v>79</v>
      </c>
      <c r="C509" t="s">
        <v>79</v>
      </c>
      <c r="D509" t="s">
        <v>33</v>
      </c>
      <c r="E509" t="s">
        <v>34</v>
      </c>
      <c r="F509" t="str">
        <f>"0014146"</f>
        <v>0014146</v>
      </c>
      <c r="G509">
        <v>1</v>
      </c>
      <c r="H509" t="str">
        <f>"00000001"</f>
        <v>00000001</v>
      </c>
      <c r="I509" t="s">
        <v>35</v>
      </c>
      <c r="J509"/>
      <c r="K509">
        <v>6.78</v>
      </c>
      <c r="L509">
        <v>0.0</v>
      </c>
      <c r="M509"/>
      <c r="N509"/>
      <c r="O509">
        <v>1.22</v>
      </c>
      <c r="P509">
        <v>0.0</v>
      </c>
      <c r="Q509">
        <v>8.0</v>
      </c>
      <c r="R509"/>
      <c r="S509"/>
      <c r="T509"/>
      <c r="U509"/>
      <c r="V509"/>
      <c r="W509">
        <v>18</v>
      </c>
    </row>
    <row r="510" spans="1:23">
      <c r="A510"/>
      <c r="B510" t="s">
        <v>79</v>
      </c>
      <c r="C510" t="s">
        <v>79</v>
      </c>
      <c r="D510" t="s">
        <v>33</v>
      </c>
      <c r="E510" t="s">
        <v>34</v>
      </c>
      <c r="F510" t="str">
        <f>"0014147"</f>
        <v>0014147</v>
      </c>
      <c r="G510">
        <v>1</v>
      </c>
      <c r="H510" t="str">
        <f>"00000001"</f>
        <v>00000001</v>
      </c>
      <c r="I510" t="s">
        <v>35</v>
      </c>
      <c r="J510"/>
      <c r="K510">
        <v>8.47</v>
      </c>
      <c r="L510">
        <v>0.0</v>
      </c>
      <c r="M510"/>
      <c r="N510"/>
      <c r="O510">
        <v>1.53</v>
      </c>
      <c r="P510">
        <v>0.0</v>
      </c>
      <c r="Q510">
        <v>10.0</v>
      </c>
      <c r="R510"/>
      <c r="S510"/>
      <c r="T510"/>
      <c r="U510"/>
      <c r="V510"/>
      <c r="W510">
        <v>18</v>
      </c>
    </row>
    <row r="511" spans="1:23">
      <c r="A511"/>
      <c r="B511" t="s">
        <v>79</v>
      </c>
      <c r="C511" t="s">
        <v>79</v>
      </c>
      <c r="D511" t="s">
        <v>33</v>
      </c>
      <c r="E511" t="s">
        <v>34</v>
      </c>
      <c r="F511" t="str">
        <f>"0014148"</f>
        <v>0014148</v>
      </c>
      <c r="G511">
        <v>1</v>
      </c>
      <c r="H511" t="str">
        <f>"00000001"</f>
        <v>00000001</v>
      </c>
      <c r="I511" t="s">
        <v>35</v>
      </c>
      <c r="J511"/>
      <c r="K511">
        <v>3.39</v>
      </c>
      <c r="L511">
        <v>0.0</v>
      </c>
      <c r="M511"/>
      <c r="N511"/>
      <c r="O511">
        <v>0.61</v>
      </c>
      <c r="P511">
        <v>0.0</v>
      </c>
      <c r="Q511">
        <v>4.0</v>
      </c>
      <c r="R511"/>
      <c r="S511"/>
      <c r="T511"/>
      <c r="U511"/>
      <c r="V511"/>
      <c r="W511">
        <v>18</v>
      </c>
    </row>
    <row r="512" spans="1:23">
      <c r="A512"/>
      <c r="B512" t="s">
        <v>83</v>
      </c>
      <c r="C512" t="s">
        <v>83</v>
      </c>
      <c r="D512" t="s">
        <v>33</v>
      </c>
      <c r="E512" t="s">
        <v>34</v>
      </c>
      <c r="F512" t="str">
        <f>"0014149"</f>
        <v>0014149</v>
      </c>
      <c r="G512">
        <v>1</v>
      </c>
      <c r="H512" t="str">
        <f>"00000001"</f>
        <v>00000001</v>
      </c>
      <c r="I512" t="s">
        <v>35</v>
      </c>
      <c r="J512"/>
      <c r="K512">
        <v>5.08</v>
      </c>
      <c r="L512">
        <v>0.0</v>
      </c>
      <c r="M512"/>
      <c r="N512"/>
      <c r="O512">
        <v>0.92</v>
      </c>
      <c r="P512">
        <v>0.0</v>
      </c>
      <c r="Q512">
        <v>6.0</v>
      </c>
      <c r="R512"/>
      <c r="S512"/>
      <c r="T512"/>
      <c r="U512"/>
      <c r="V512"/>
      <c r="W512">
        <v>18</v>
      </c>
    </row>
    <row r="513" spans="1:23">
      <c r="A513"/>
      <c r="B513" t="s">
        <v>83</v>
      </c>
      <c r="C513" t="s">
        <v>83</v>
      </c>
      <c r="D513" t="s">
        <v>33</v>
      </c>
      <c r="E513" t="s">
        <v>34</v>
      </c>
      <c r="F513" t="str">
        <f>"0014150"</f>
        <v>0014150</v>
      </c>
      <c r="G513">
        <v>1</v>
      </c>
      <c r="H513" t="str">
        <f>"09948495"</f>
        <v>09948495</v>
      </c>
      <c r="I513" t="s">
        <v>84</v>
      </c>
      <c r="J513"/>
      <c r="K513">
        <v>4.24</v>
      </c>
      <c r="L513">
        <v>0.0</v>
      </c>
      <c r="M513"/>
      <c r="N513"/>
      <c r="O513">
        <v>0.76</v>
      </c>
      <c r="P513">
        <v>0.0</v>
      </c>
      <c r="Q513">
        <v>5.0</v>
      </c>
      <c r="R513"/>
      <c r="S513"/>
      <c r="T513"/>
      <c r="U513"/>
      <c r="V513"/>
      <c r="W513">
        <v>18</v>
      </c>
    </row>
    <row r="514" spans="1:23">
      <c r="A514"/>
      <c r="B514" t="s">
        <v>83</v>
      </c>
      <c r="C514" t="s">
        <v>83</v>
      </c>
      <c r="D514" t="s">
        <v>33</v>
      </c>
      <c r="E514" t="s">
        <v>34</v>
      </c>
      <c r="F514" t="str">
        <f>"0014151"</f>
        <v>0014151</v>
      </c>
      <c r="G514">
        <v>1</v>
      </c>
      <c r="H514" t="str">
        <f>"00000001"</f>
        <v>00000001</v>
      </c>
      <c r="I514" t="s">
        <v>35</v>
      </c>
      <c r="J514"/>
      <c r="K514">
        <v>4.24</v>
      </c>
      <c r="L514">
        <v>0.0</v>
      </c>
      <c r="M514"/>
      <c r="N514"/>
      <c r="O514">
        <v>0.76</v>
      </c>
      <c r="P514">
        <v>0.0</v>
      </c>
      <c r="Q514">
        <v>5.0</v>
      </c>
      <c r="R514"/>
      <c r="S514"/>
      <c r="T514"/>
      <c r="U514"/>
      <c r="V514"/>
      <c r="W514">
        <v>18</v>
      </c>
    </row>
    <row r="515" spans="1:23">
      <c r="A515"/>
      <c r="B515" t="s">
        <v>83</v>
      </c>
      <c r="C515" t="s">
        <v>83</v>
      </c>
      <c r="D515" t="s">
        <v>33</v>
      </c>
      <c r="E515" t="s">
        <v>34</v>
      </c>
      <c r="F515" t="str">
        <f>"0014152"</f>
        <v>0014152</v>
      </c>
      <c r="G515">
        <v>1</v>
      </c>
      <c r="H515" t="str">
        <f>"00000001"</f>
        <v>00000001</v>
      </c>
      <c r="I515" t="s">
        <v>35</v>
      </c>
      <c r="J515"/>
      <c r="K515">
        <v>30.51</v>
      </c>
      <c r="L515">
        <v>0.0</v>
      </c>
      <c r="M515"/>
      <c r="N515"/>
      <c r="O515">
        <v>5.49</v>
      </c>
      <c r="P515">
        <v>0.0</v>
      </c>
      <c r="Q515">
        <v>36.0</v>
      </c>
      <c r="R515"/>
      <c r="S515"/>
      <c r="T515"/>
      <c r="U515"/>
      <c r="V515"/>
      <c r="W515">
        <v>18</v>
      </c>
    </row>
    <row r="516" spans="1:23">
      <c r="A516"/>
      <c r="B516" t="s">
        <v>83</v>
      </c>
      <c r="C516" t="s">
        <v>83</v>
      </c>
      <c r="D516" t="s">
        <v>33</v>
      </c>
      <c r="E516" t="s">
        <v>34</v>
      </c>
      <c r="F516" t="str">
        <f>"0014153"</f>
        <v>0014153</v>
      </c>
      <c r="G516">
        <v>1</v>
      </c>
      <c r="H516" t="str">
        <f>"00000001"</f>
        <v>00000001</v>
      </c>
      <c r="I516" t="s">
        <v>35</v>
      </c>
      <c r="J516"/>
      <c r="K516">
        <v>27.12</v>
      </c>
      <c r="L516">
        <v>0.0</v>
      </c>
      <c r="M516"/>
      <c r="N516"/>
      <c r="O516">
        <v>4.88</v>
      </c>
      <c r="P516">
        <v>0.0</v>
      </c>
      <c r="Q516">
        <v>32.0</v>
      </c>
      <c r="R516"/>
      <c r="S516"/>
      <c r="T516"/>
      <c r="U516"/>
      <c r="V516"/>
      <c r="W516">
        <v>18</v>
      </c>
    </row>
    <row r="517" spans="1:23">
      <c r="A517"/>
      <c r="B517" t="s">
        <v>83</v>
      </c>
      <c r="C517" t="s">
        <v>83</v>
      </c>
      <c r="D517" t="s">
        <v>33</v>
      </c>
      <c r="E517" t="s">
        <v>34</v>
      </c>
      <c r="F517" t="str">
        <f>"0014154"</f>
        <v>0014154</v>
      </c>
      <c r="G517">
        <v>1</v>
      </c>
      <c r="H517" t="str">
        <f>"00000001"</f>
        <v>00000001</v>
      </c>
      <c r="I517" t="s">
        <v>35</v>
      </c>
      <c r="J517"/>
      <c r="K517">
        <v>6.78</v>
      </c>
      <c r="L517">
        <v>0.0</v>
      </c>
      <c r="M517"/>
      <c r="N517"/>
      <c r="O517">
        <v>1.22</v>
      </c>
      <c r="P517">
        <v>0.0</v>
      </c>
      <c r="Q517">
        <v>8.0</v>
      </c>
      <c r="R517"/>
      <c r="S517"/>
      <c r="T517"/>
      <c r="U517"/>
      <c r="V517"/>
      <c r="W517">
        <v>18</v>
      </c>
    </row>
    <row r="518" spans="1:23">
      <c r="A518"/>
      <c r="B518" t="s">
        <v>83</v>
      </c>
      <c r="C518" t="s">
        <v>83</v>
      </c>
      <c r="D518" t="s">
        <v>33</v>
      </c>
      <c r="E518" t="s">
        <v>34</v>
      </c>
      <c r="F518" t="str">
        <f>"0014155"</f>
        <v>0014155</v>
      </c>
      <c r="G518">
        <v>1</v>
      </c>
      <c r="H518" t="str">
        <f>"00000001"</f>
        <v>00000001</v>
      </c>
      <c r="I518" t="s">
        <v>35</v>
      </c>
      <c r="J518"/>
      <c r="K518">
        <v>21.19</v>
      </c>
      <c r="L518">
        <v>0.0</v>
      </c>
      <c r="M518"/>
      <c r="N518"/>
      <c r="O518">
        <v>3.81</v>
      </c>
      <c r="P518">
        <v>0.0</v>
      </c>
      <c r="Q518">
        <v>25.0</v>
      </c>
      <c r="R518"/>
      <c r="S518"/>
      <c r="T518"/>
      <c r="U518"/>
      <c r="V518"/>
      <c r="W518">
        <v>18</v>
      </c>
    </row>
    <row r="519" spans="1:23">
      <c r="A519"/>
      <c r="B519" t="s">
        <v>83</v>
      </c>
      <c r="C519" t="s">
        <v>83</v>
      </c>
      <c r="D519" t="s">
        <v>33</v>
      </c>
      <c r="E519" t="s">
        <v>34</v>
      </c>
      <c r="F519" t="str">
        <f>"0014156"</f>
        <v>0014156</v>
      </c>
      <c r="G519">
        <v>1</v>
      </c>
      <c r="H519" t="str">
        <f>"00000001"</f>
        <v>00000001</v>
      </c>
      <c r="I519" t="s">
        <v>35</v>
      </c>
      <c r="J519"/>
      <c r="K519">
        <v>4.24</v>
      </c>
      <c r="L519">
        <v>0.0</v>
      </c>
      <c r="M519"/>
      <c r="N519"/>
      <c r="O519">
        <v>0.76</v>
      </c>
      <c r="P519">
        <v>0.0</v>
      </c>
      <c r="Q519">
        <v>5.0</v>
      </c>
      <c r="R519"/>
      <c r="S519"/>
      <c r="T519"/>
      <c r="U519"/>
      <c r="V519"/>
      <c r="W519">
        <v>18</v>
      </c>
    </row>
    <row r="520" spans="1:23">
      <c r="A520"/>
      <c r="B520" t="s">
        <v>83</v>
      </c>
      <c r="C520" t="s">
        <v>83</v>
      </c>
      <c r="D520" t="s">
        <v>33</v>
      </c>
      <c r="E520" t="s">
        <v>34</v>
      </c>
      <c r="F520" t="str">
        <f>"0014157"</f>
        <v>0014157</v>
      </c>
      <c r="G520">
        <v>1</v>
      </c>
      <c r="H520" t="str">
        <f>"00000001"</f>
        <v>00000001</v>
      </c>
      <c r="I520" t="s">
        <v>35</v>
      </c>
      <c r="J520"/>
      <c r="K520">
        <v>20.34</v>
      </c>
      <c r="L520">
        <v>0.0</v>
      </c>
      <c r="M520"/>
      <c r="N520"/>
      <c r="O520">
        <v>3.66</v>
      </c>
      <c r="P520">
        <v>0.0</v>
      </c>
      <c r="Q520">
        <v>24.0</v>
      </c>
      <c r="R520"/>
      <c r="S520"/>
      <c r="T520"/>
      <c r="U520"/>
      <c r="V520"/>
      <c r="W520">
        <v>18</v>
      </c>
    </row>
    <row r="521" spans="1:23">
      <c r="A521"/>
      <c r="B521" t="s">
        <v>83</v>
      </c>
      <c r="C521" t="s">
        <v>83</v>
      </c>
      <c r="D521" t="s">
        <v>33</v>
      </c>
      <c r="E521" t="s">
        <v>34</v>
      </c>
      <c r="F521" t="str">
        <f>"0014158"</f>
        <v>0014158</v>
      </c>
      <c r="G521">
        <v>1</v>
      </c>
      <c r="H521" t="str">
        <f>"00000001"</f>
        <v>00000001</v>
      </c>
      <c r="I521" t="s">
        <v>35</v>
      </c>
      <c r="J521"/>
      <c r="K521">
        <v>18.64</v>
      </c>
      <c r="L521">
        <v>0.0</v>
      </c>
      <c r="M521"/>
      <c r="N521"/>
      <c r="O521">
        <v>3.36</v>
      </c>
      <c r="P521">
        <v>0.0</v>
      </c>
      <c r="Q521">
        <v>22.0</v>
      </c>
      <c r="R521"/>
      <c r="S521"/>
      <c r="T521"/>
      <c r="U521"/>
      <c r="V521"/>
      <c r="W521">
        <v>18</v>
      </c>
    </row>
    <row r="522" spans="1:23">
      <c r="A522"/>
      <c r="B522" t="s">
        <v>83</v>
      </c>
      <c r="C522" t="s">
        <v>83</v>
      </c>
      <c r="D522" t="s">
        <v>33</v>
      </c>
      <c r="E522" t="s">
        <v>34</v>
      </c>
      <c r="F522" t="str">
        <f>"0014159"</f>
        <v>0014159</v>
      </c>
      <c r="G522">
        <v>1</v>
      </c>
      <c r="H522" t="str">
        <f>"00000001"</f>
        <v>00000001</v>
      </c>
      <c r="I522" t="s">
        <v>35</v>
      </c>
      <c r="J522"/>
      <c r="K522">
        <v>10.17</v>
      </c>
      <c r="L522">
        <v>0.0</v>
      </c>
      <c r="M522"/>
      <c r="N522"/>
      <c r="O522">
        <v>1.83</v>
      </c>
      <c r="P522">
        <v>0.0</v>
      </c>
      <c r="Q522">
        <v>12.0</v>
      </c>
      <c r="R522"/>
      <c r="S522"/>
      <c r="T522"/>
      <c r="U522"/>
      <c r="V522"/>
      <c r="W522">
        <v>18</v>
      </c>
    </row>
    <row r="523" spans="1:23">
      <c r="A523"/>
      <c r="B523" t="s">
        <v>83</v>
      </c>
      <c r="C523" t="s">
        <v>83</v>
      </c>
      <c r="D523" t="s">
        <v>33</v>
      </c>
      <c r="E523" t="s">
        <v>34</v>
      </c>
      <c r="F523" t="str">
        <f>"0014160"</f>
        <v>0014160</v>
      </c>
      <c r="G523">
        <v>1</v>
      </c>
      <c r="H523" t="str">
        <f>"00000001"</f>
        <v>00000001</v>
      </c>
      <c r="I523" t="s">
        <v>35</v>
      </c>
      <c r="J523"/>
      <c r="K523">
        <v>7.63</v>
      </c>
      <c r="L523">
        <v>0.0</v>
      </c>
      <c r="M523"/>
      <c r="N523"/>
      <c r="O523">
        <v>1.37</v>
      </c>
      <c r="P523">
        <v>0.0</v>
      </c>
      <c r="Q523">
        <v>9.0</v>
      </c>
      <c r="R523"/>
      <c r="S523"/>
      <c r="T523"/>
      <c r="U523"/>
      <c r="V523"/>
      <c r="W523">
        <v>18</v>
      </c>
    </row>
    <row r="524" spans="1:23">
      <c r="A524"/>
      <c r="B524" t="s">
        <v>83</v>
      </c>
      <c r="C524" t="s">
        <v>83</v>
      </c>
      <c r="D524" t="s">
        <v>33</v>
      </c>
      <c r="E524" t="s">
        <v>34</v>
      </c>
      <c r="F524" t="str">
        <f>"0014161"</f>
        <v>0014161</v>
      </c>
      <c r="G524">
        <v>1</v>
      </c>
      <c r="H524" t="str">
        <f>"00000001"</f>
        <v>00000001</v>
      </c>
      <c r="I524" t="s">
        <v>35</v>
      </c>
      <c r="J524"/>
      <c r="K524">
        <v>8.47</v>
      </c>
      <c r="L524">
        <v>0.0</v>
      </c>
      <c r="M524"/>
      <c r="N524"/>
      <c r="O524">
        <v>1.53</v>
      </c>
      <c r="P524">
        <v>0.0</v>
      </c>
      <c r="Q524">
        <v>10.0</v>
      </c>
      <c r="R524"/>
      <c r="S524"/>
      <c r="T524"/>
      <c r="U524"/>
      <c r="V524"/>
      <c r="W524">
        <v>18</v>
      </c>
    </row>
    <row r="525" spans="1:23">
      <c r="A525"/>
      <c r="B525" t="s">
        <v>83</v>
      </c>
      <c r="C525" t="s">
        <v>83</v>
      </c>
      <c r="D525" t="s">
        <v>33</v>
      </c>
      <c r="E525" t="s">
        <v>34</v>
      </c>
      <c r="F525" t="str">
        <f>"0014162"</f>
        <v>0014162</v>
      </c>
      <c r="G525">
        <v>1</v>
      </c>
      <c r="H525" t="str">
        <f>"00000001"</f>
        <v>00000001</v>
      </c>
      <c r="I525" t="s">
        <v>35</v>
      </c>
      <c r="J525"/>
      <c r="K525">
        <v>8.47</v>
      </c>
      <c r="L525">
        <v>0.0</v>
      </c>
      <c r="M525"/>
      <c r="N525"/>
      <c r="O525">
        <v>1.53</v>
      </c>
      <c r="P525">
        <v>0.0</v>
      </c>
      <c r="Q525">
        <v>10.0</v>
      </c>
      <c r="R525"/>
      <c r="S525"/>
      <c r="T525"/>
      <c r="U525"/>
      <c r="V525"/>
      <c r="W525">
        <v>18</v>
      </c>
    </row>
    <row r="526" spans="1:23">
      <c r="A526"/>
      <c r="B526" t="s">
        <v>83</v>
      </c>
      <c r="C526" t="s">
        <v>83</v>
      </c>
      <c r="D526" t="s">
        <v>33</v>
      </c>
      <c r="E526" t="s">
        <v>34</v>
      </c>
      <c r="F526" t="str">
        <f>"0014163"</f>
        <v>0014163</v>
      </c>
      <c r="G526">
        <v>1</v>
      </c>
      <c r="H526" t="str">
        <f>"00000001"</f>
        <v>00000001</v>
      </c>
      <c r="I526" t="s">
        <v>35</v>
      </c>
      <c r="J526"/>
      <c r="K526">
        <v>7.63</v>
      </c>
      <c r="L526">
        <v>0.0</v>
      </c>
      <c r="M526"/>
      <c r="N526"/>
      <c r="O526">
        <v>1.37</v>
      </c>
      <c r="P526">
        <v>0.0</v>
      </c>
      <c r="Q526">
        <v>9.0</v>
      </c>
      <c r="R526"/>
      <c r="S526"/>
      <c r="T526"/>
      <c r="U526"/>
      <c r="V526"/>
      <c r="W526">
        <v>18</v>
      </c>
    </row>
    <row r="527" spans="1:23">
      <c r="A527"/>
      <c r="B527" t="s">
        <v>83</v>
      </c>
      <c r="C527" t="s">
        <v>83</v>
      </c>
      <c r="D527" t="s">
        <v>33</v>
      </c>
      <c r="E527" t="s">
        <v>34</v>
      </c>
      <c r="F527" t="str">
        <f>"0014164"</f>
        <v>0014164</v>
      </c>
      <c r="G527">
        <v>1</v>
      </c>
      <c r="H527" t="str">
        <f>"00000001"</f>
        <v>00000001</v>
      </c>
      <c r="I527" t="s">
        <v>35</v>
      </c>
      <c r="J527"/>
      <c r="K527">
        <v>12.71</v>
      </c>
      <c r="L527">
        <v>0.0</v>
      </c>
      <c r="M527"/>
      <c r="N527"/>
      <c r="O527">
        <v>2.29</v>
      </c>
      <c r="P527">
        <v>0.0</v>
      </c>
      <c r="Q527">
        <v>15.0</v>
      </c>
      <c r="R527"/>
      <c r="S527"/>
      <c r="T527"/>
      <c r="U527"/>
      <c r="V527"/>
      <c r="W527">
        <v>18</v>
      </c>
    </row>
    <row r="528" spans="1:23">
      <c r="A528"/>
      <c r="B528" t="s">
        <v>83</v>
      </c>
      <c r="C528" t="s">
        <v>83</v>
      </c>
      <c r="D528" t="s">
        <v>33</v>
      </c>
      <c r="E528" t="s">
        <v>34</v>
      </c>
      <c r="F528" t="str">
        <f>"0014165"</f>
        <v>0014165</v>
      </c>
      <c r="G528">
        <v>1</v>
      </c>
      <c r="H528" t="str">
        <f>"00000001"</f>
        <v>00000001</v>
      </c>
      <c r="I528" t="s">
        <v>35</v>
      </c>
      <c r="J528"/>
      <c r="K528">
        <v>11.86</v>
      </c>
      <c r="L528">
        <v>0.0</v>
      </c>
      <c r="M528"/>
      <c r="N528"/>
      <c r="O528">
        <v>2.14</v>
      </c>
      <c r="P528">
        <v>0.0</v>
      </c>
      <c r="Q528">
        <v>14.0</v>
      </c>
      <c r="R528"/>
      <c r="S528"/>
      <c r="T528"/>
      <c r="U528"/>
      <c r="V528"/>
      <c r="W528">
        <v>18</v>
      </c>
    </row>
    <row r="529" spans="1:23">
      <c r="A529"/>
      <c r="B529" t="s">
        <v>83</v>
      </c>
      <c r="C529" t="s">
        <v>83</v>
      </c>
      <c r="D529" t="s">
        <v>33</v>
      </c>
      <c r="E529" t="s">
        <v>34</v>
      </c>
      <c r="F529" t="str">
        <f>"0014166"</f>
        <v>0014166</v>
      </c>
      <c r="G529">
        <v>1</v>
      </c>
      <c r="H529" t="str">
        <f>"00000001"</f>
        <v>00000001</v>
      </c>
      <c r="I529" t="s">
        <v>35</v>
      </c>
      <c r="J529"/>
      <c r="K529">
        <v>27.12</v>
      </c>
      <c r="L529">
        <v>0.0</v>
      </c>
      <c r="M529"/>
      <c r="N529"/>
      <c r="O529">
        <v>4.88</v>
      </c>
      <c r="P529">
        <v>0.0</v>
      </c>
      <c r="Q529">
        <v>32.0</v>
      </c>
      <c r="R529"/>
      <c r="S529"/>
      <c r="T529"/>
      <c r="U529"/>
      <c r="V529"/>
      <c r="W529">
        <v>18</v>
      </c>
    </row>
    <row r="530" spans="1:23">
      <c r="A530"/>
      <c r="B530" t="s">
        <v>83</v>
      </c>
      <c r="C530" t="s">
        <v>83</v>
      </c>
      <c r="D530" t="s">
        <v>33</v>
      </c>
      <c r="E530" t="s">
        <v>34</v>
      </c>
      <c r="F530" t="str">
        <f>"0014167"</f>
        <v>0014167</v>
      </c>
      <c r="G530">
        <v>1</v>
      </c>
      <c r="H530" t="str">
        <f>"00000001"</f>
        <v>00000001</v>
      </c>
      <c r="I530" t="s">
        <v>35</v>
      </c>
      <c r="J530"/>
      <c r="K530">
        <v>16.95</v>
      </c>
      <c r="L530">
        <v>0.0</v>
      </c>
      <c r="M530"/>
      <c r="N530"/>
      <c r="O530">
        <v>3.05</v>
      </c>
      <c r="P530">
        <v>0.0</v>
      </c>
      <c r="Q530">
        <v>20.0</v>
      </c>
      <c r="R530"/>
      <c r="S530"/>
      <c r="T530"/>
      <c r="U530"/>
      <c r="V530"/>
      <c r="W530">
        <v>18</v>
      </c>
    </row>
    <row r="531" spans="1:23">
      <c r="A531"/>
      <c r="B531" t="s">
        <v>83</v>
      </c>
      <c r="C531" t="s">
        <v>83</v>
      </c>
      <c r="D531" t="s">
        <v>33</v>
      </c>
      <c r="E531" t="s">
        <v>34</v>
      </c>
      <c r="F531" t="str">
        <f>"0014168"</f>
        <v>0014168</v>
      </c>
      <c r="G531">
        <v>1</v>
      </c>
      <c r="H531" t="str">
        <f>"00000001"</f>
        <v>00000001</v>
      </c>
      <c r="I531" t="s">
        <v>35</v>
      </c>
      <c r="J531"/>
      <c r="K531">
        <v>3.39</v>
      </c>
      <c r="L531">
        <v>0.0</v>
      </c>
      <c r="M531"/>
      <c r="N531"/>
      <c r="O531">
        <v>0.61</v>
      </c>
      <c r="P531">
        <v>0.0</v>
      </c>
      <c r="Q531">
        <v>4.0</v>
      </c>
      <c r="R531"/>
      <c r="S531"/>
      <c r="T531"/>
      <c r="U531"/>
      <c r="V531"/>
      <c r="W531">
        <v>18</v>
      </c>
    </row>
    <row r="532" spans="1:23">
      <c r="A532"/>
      <c r="B532" t="s">
        <v>83</v>
      </c>
      <c r="C532" t="s">
        <v>83</v>
      </c>
      <c r="D532" t="s">
        <v>33</v>
      </c>
      <c r="E532" t="s">
        <v>34</v>
      </c>
      <c r="F532" t="str">
        <f>"0014169"</f>
        <v>0014169</v>
      </c>
      <c r="G532">
        <v>1</v>
      </c>
      <c r="H532" t="str">
        <f>"00000001"</f>
        <v>00000001</v>
      </c>
      <c r="I532" t="s">
        <v>35</v>
      </c>
      <c r="J532"/>
      <c r="K532">
        <v>8.9</v>
      </c>
      <c r="L532">
        <v>0.0</v>
      </c>
      <c r="M532"/>
      <c r="N532"/>
      <c r="O532">
        <v>1.6</v>
      </c>
      <c r="P532">
        <v>0.0</v>
      </c>
      <c r="Q532">
        <v>10.5</v>
      </c>
      <c r="R532"/>
      <c r="S532"/>
      <c r="T532"/>
      <c r="U532"/>
      <c r="V532"/>
      <c r="W532">
        <v>18</v>
      </c>
    </row>
    <row r="533" spans="1:23">
      <c r="A533"/>
      <c r="B533" t="s">
        <v>83</v>
      </c>
      <c r="C533" t="s">
        <v>83</v>
      </c>
      <c r="D533" t="s">
        <v>33</v>
      </c>
      <c r="E533" t="s">
        <v>34</v>
      </c>
      <c r="F533" t="str">
        <f>"0014170"</f>
        <v>0014170</v>
      </c>
      <c r="G533">
        <v>1</v>
      </c>
      <c r="H533" t="str">
        <f>"70652565"</f>
        <v>70652565</v>
      </c>
      <c r="I533" t="s">
        <v>85</v>
      </c>
      <c r="J533"/>
      <c r="K533">
        <v>4.24</v>
      </c>
      <c r="L533">
        <v>0.0</v>
      </c>
      <c r="M533"/>
      <c r="N533"/>
      <c r="O533">
        <v>0.76</v>
      </c>
      <c r="P533">
        <v>0.0</v>
      </c>
      <c r="Q533">
        <v>5.0</v>
      </c>
      <c r="R533"/>
      <c r="S533"/>
      <c r="T533"/>
      <c r="U533"/>
      <c r="V533"/>
      <c r="W533">
        <v>18</v>
      </c>
    </row>
    <row r="534" spans="1:23">
      <c r="A534"/>
      <c r="B534" t="s">
        <v>83</v>
      </c>
      <c r="C534" t="s">
        <v>83</v>
      </c>
      <c r="D534" t="s">
        <v>33</v>
      </c>
      <c r="E534" t="s">
        <v>34</v>
      </c>
      <c r="F534" t="str">
        <f>"0014171"</f>
        <v>0014171</v>
      </c>
      <c r="G534">
        <v>1</v>
      </c>
      <c r="H534" t="str">
        <f>"00000001"</f>
        <v>00000001</v>
      </c>
      <c r="I534" t="s">
        <v>35</v>
      </c>
      <c r="J534"/>
      <c r="K534">
        <v>8.47</v>
      </c>
      <c r="L534">
        <v>0.0</v>
      </c>
      <c r="M534"/>
      <c r="N534"/>
      <c r="O534">
        <v>1.53</v>
      </c>
      <c r="P534">
        <v>0.0</v>
      </c>
      <c r="Q534">
        <v>10.0</v>
      </c>
      <c r="R534"/>
      <c r="S534"/>
      <c r="T534"/>
      <c r="U534"/>
      <c r="V534"/>
      <c r="W534">
        <v>18</v>
      </c>
    </row>
    <row r="535" spans="1:23">
      <c r="A535"/>
      <c r="B535" t="s">
        <v>83</v>
      </c>
      <c r="C535" t="s">
        <v>83</v>
      </c>
      <c r="D535" t="s">
        <v>33</v>
      </c>
      <c r="E535" t="s">
        <v>34</v>
      </c>
      <c r="F535" t="str">
        <f>"0014172"</f>
        <v>0014172</v>
      </c>
      <c r="G535">
        <v>1</v>
      </c>
      <c r="H535" t="str">
        <f>"00000001"</f>
        <v>00000001</v>
      </c>
      <c r="I535" t="s">
        <v>35</v>
      </c>
      <c r="J535"/>
      <c r="K535">
        <v>186.44</v>
      </c>
      <c r="L535">
        <v>0.0</v>
      </c>
      <c r="M535"/>
      <c r="N535"/>
      <c r="O535">
        <v>33.56</v>
      </c>
      <c r="P535">
        <v>0.0</v>
      </c>
      <c r="Q535">
        <v>220.0</v>
      </c>
      <c r="R535"/>
      <c r="S535"/>
      <c r="T535"/>
      <c r="U535"/>
      <c r="V535"/>
      <c r="W535">
        <v>18</v>
      </c>
    </row>
    <row r="536" spans="1:23">
      <c r="A536"/>
      <c r="B536" t="s">
        <v>83</v>
      </c>
      <c r="C536" t="s">
        <v>83</v>
      </c>
      <c r="D536" t="s">
        <v>33</v>
      </c>
      <c r="E536" t="s">
        <v>34</v>
      </c>
      <c r="F536" t="str">
        <f>"0014173"</f>
        <v>0014173</v>
      </c>
      <c r="G536">
        <v>1</v>
      </c>
      <c r="H536" t="str">
        <f>"00000001"</f>
        <v>00000001</v>
      </c>
      <c r="I536" t="s">
        <v>35</v>
      </c>
      <c r="J536"/>
      <c r="K536">
        <v>2.97</v>
      </c>
      <c r="L536">
        <v>0.0</v>
      </c>
      <c r="M536"/>
      <c r="N536"/>
      <c r="O536">
        <v>0.53</v>
      </c>
      <c r="P536">
        <v>0.0</v>
      </c>
      <c r="Q536">
        <v>3.5</v>
      </c>
      <c r="R536"/>
      <c r="S536"/>
      <c r="T536"/>
      <c r="U536"/>
      <c r="V536"/>
      <c r="W536">
        <v>18</v>
      </c>
    </row>
    <row r="537" spans="1:23">
      <c r="A537"/>
      <c r="B537" t="s">
        <v>83</v>
      </c>
      <c r="C537" t="s">
        <v>83</v>
      </c>
      <c r="D537" t="s">
        <v>33</v>
      </c>
      <c r="E537" t="s">
        <v>34</v>
      </c>
      <c r="F537" t="str">
        <f>"0014174"</f>
        <v>0014174</v>
      </c>
      <c r="G537">
        <v>1</v>
      </c>
      <c r="H537" t="str">
        <f>"00000001"</f>
        <v>00000001</v>
      </c>
      <c r="I537" t="s">
        <v>35</v>
      </c>
      <c r="J537"/>
      <c r="K537">
        <v>33.9</v>
      </c>
      <c r="L537">
        <v>0.0</v>
      </c>
      <c r="M537"/>
      <c r="N537"/>
      <c r="O537">
        <v>6.1</v>
      </c>
      <c r="P537">
        <v>0.0</v>
      </c>
      <c r="Q537">
        <v>40.0</v>
      </c>
      <c r="R537"/>
      <c r="S537"/>
      <c r="T537"/>
      <c r="U537"/>
      <c r="V537"/>
      <c r="W537">
        <v>18</v>
      </c>
    </row>
    <row r="538" spans="1:23">
      <c r="A538"/>
      <c r="B538" t="s">
        <v>83</v>
      </c>
      <c r="C538" t="s">
        <v>83</v>
      </c>
      <c r="D538" t="s">
        <v>33</v>
      </c>
      <c r="E538" t="s">
        <v>34</v>
      </c>
      <c r="F538" t="str">
        <f>"0014175"</f>
        <v>0014175</v>
      </c>
      <c r="G538">
        <v>1</v>
      </c>
      <c r="H538" t="str">
        <f>"00000001"</f>
        <v>00000001</v>
      </c>
      <c r="I538" t="s">
        <v>35</v>
      </c>
      <c r="J538"/>
      <c r="K538">
        <v>12.71</v>
      </c>
      <c r="L538">
        <v>0.0</v>
      </c>
      <c r="M538"/>
      <c r="N538"/>
      <c r="O538">
        <v>2.29</v>
      </c>
      <c r="P538">
        <v>0.0</v>
      </c>
      <c r="Q538">
        <v>15.0</v>
      </c>
      <c r="R538"/>
      <c r="S538"/>
      <c r="T538"/>
      <c r="U538"/>
      <c r="V538"/>
      <c r="W538">
        <v>18</v>
      </c>
    </row>
    <row r="539" spans="1:23">
      <c r="A539"/>
      <c r="B539" t="s">
        <v>83</v>
      </c>
      <c r="C539" t="s">
        <v>83</v>
      </c>
      <c r="D539" t="s">
        <v>33</v>
      </c>
      <c r="E539" t="s">
        <v>34</v>
      </c>
      <c r="F539" t="str">
        <f>"0014176"</f>
        <v>0014176</v>
      </c>
      <c r="G539">
        <v>1</v>
      </c>
      <c r="H539" t="str">
        <f>"00000001"</f>
        <v>00000001</v>
      </c>
      <c r="I539" t="s">
        <v>35</v>
      </c>
      <c r="J539"/>
      <c r="K539">
        <v>25.42</v>
      </c>
      <c r="L539">
        <v>0.0</v>
      </c>
      <c r="M539"/>
      <c r="N539"/>
      <c r="O539">
        <v>4.58</v>
      </c>
      <c r="P539">
        <v>0.0</v>
      </c>
      <c r="Q539">
        <v>30.0</v>
      </c>
      <c r="R539"/>
      <c r="S539"/>
      <c r="T539"/>
      <c r="U539"/>
      <c r="V539"/>
      <c r="W539">
        <v>18</v>
      </c>
    </row>
    <row r="540" spans="1:23">
      <c r="A540"/>
      <c r="B540" t="s">
        <v>83</v>
      </c>
      <c r="C540" t="s">
        <v>83</v>
      </c>
      <c r="D540" t="s">
        <v>33</v>
      </c>
      <c r="E540" t="s">
        <v>34</v>
      </c>
      <c r="F540" t="str">
        <f>"0014177"</f>
        <v>0014177</v>
      </c>
      <c r="G540">
        <v>1</v>
      </c>
      <c r="H540" t="str">
        <f>"00000001"</f>
        <v>00000001</v>
      </c>
      <c r="I540" t="s">
        <v>35</v>
      </c>
      <c r="J540"/>
      <c r="K540">
        <v>5.93</v>
      </c>
      <c r="L540">
        <v>0.0</v>
      </c>
      <c r="M540"/>
      <c r="N540"/>
      <c r="O540">
        <v>1.07</v>
      </c>
      <c r="P540">
        <v>0.0</v>
      </c>
      <c r="Q540">
        <v>7.0</v>
      </c>
      <c r="R540"/>
      <c r="S540"/>
      <c r="T540"/>
      <c r="U540"/>
      <c r="V540"/>
      <c r="W540">
        <v>18</v>
      </c>
    </row>
    <row r="541" spans="1:23">
      <c r="A541"/>
      <c r="B541" t="s">
        <v>83</v>
      </c>
      <c r="C541" t="s">
        <v>83</v>
      </c>
      <c r="D541" t="s">
        <v>40</v>
      </c>
      <c r="E541" t="s">
        <v>41</v>
      </c>
      <c r="F541" t="str">
        <f>"0001277"</f>
        <v>0001277</v>
      </c>
      <c r="G541">
        <v>6</v>
      </c>
      <c r="H541" t="str">
        <f>"20496115440"</f>
        <v>20496115440</v>
      </c>
      <c r="I541" t="s">
        <v>86</v>
      </c>
      <c r="J541"/>
      <c r="K541">
        <v>84.75</v>
      </c>
      <c r="L541">
        <v>0.0</v>
      </c>
      <c r="M541"/>
      <c r="N541"/>
      <c r="O541">
        <v>15.25</v>
      </c>
      <c r="P541">
        <v>0.0</v>
      </c>
      <c r="Q541">
        <v>100.0</v>
      </c>
      <c r="R541"/>
      <c r="S541"/>
      <c r="T541"/>
      <c r="U541"/>
      <c r="V541"/>
      <c r="W541">
        <v>18</v>
      </c>
    </row>
    <row r="542" spans="1:23">
      <c r="A542"/>
      <c r="B542" t="s">
        <v>83</v>
      </c>
      <c r="C542" t="s">
        <v>83</v>
      </c>
      <c r="D542" t="s">
        <v>33</v>
      </c>
      <c r="E542" t="s">
        <v>34</v>
      </c>
      <c r="F542" t="str">
        <f>"0014178"</f>
        <v>0014178</v>
      </c>
      <c r="G542">
        <v>1</v>
      </c>
      <c r="H542" t="str">
        <f>"00000001"</f>
        <v>00000001</v>
      </c>
      <c r="I542" t="s">
        <v>35</v>
      </c>
      <c r="J542"/>
      <c r="K542">
        <v>177.54</v>
      </c>
      <c r="L542">
        <v>0.0</v>
      </c>
      <c r="M542"/>
      <c r="N542"/>
      <c r="O542">
        <v>31.96</v>
      </c>
      <c r="P542">
        <v>0.0</v>
      </c>
      <c r="Q542">
        <v>209.5</v>
      </c>
      <c r="R542"/>
      <c r="S542"/>
      <c r="T542"/>
      <c r="U542"/>
      <c r="V542"/>
      <c r="W542">
        <v>18</v>
      </c>
    </row>
    <row r="543" spans="1:23">
      <c r="A543"/>
      <c r="B543" t="s">
        <v>83</v>
      </c>
      <c r="C543" t="s">
        <v>83</v>
      </c>
      <c r="D543" t="s">
        <v>33</v>
      </c>
      <c r="E543" t="s">
        <v>34</v>
      </c>
      <c r="F543" t="str">
        <f>"0014179"</f>
        <v>0014179</v>
      </c>
      <c r="G543">
        <v>1</v>
      </c>
      <c r="H543" t="str">
        <f>"00000001"</f>
        <v>00000001</v>
      </c>
      <c r="I543" t="s">
        <v>35</v>
      </c>
      <c r="J543"/>
      <c r="K543">
        <v>12.71</v>
      </c>
      <c r="L543">
        <v>0.0</v>
      </c>
      <c r="M543"/>
      <c r="N543"/>
      <c r="O543">
        <v>2.29</v>
      </c>
      <c r="P543">
        <v>0.0</v>
      </c>
      <c r="Q543">
        <v>15.0</v>
      </c>
      <c r="R543"/>
      <c r="S543"/>
      <c r="T543"/>
      <c r="U543"/>
      <c r="V543"/>
      <c r="W543">
        <v>18</v>
      </c>
    </row>
    <row r="544" spans="1:23">
      <c r="A544"/>
      <c r="B544" t="s">
        <v>83</v>
      </c>
      <c r="C544" t="s">
        <v>83</v>
      </c>
      <c r="D544" t="s">
        <v>33</v>
      </c>
      <c r="E544" t="s">
        <v>34</v>
      </c>
      <c r="F544" t="str">
        <f>"0014180"</f>
        <v>0014180</v>
      </c>
      <c r="G544">
        <v>1</v>
      </c>
      <c r="H544" t="str">
        <f>"00000001"</f>
        <v>00000001</v>
      </c>
      <c r="I544" t="s">
        <v>35</v>
      </c>
      <c r="J544"/>
      <c r="K544">
        <v>16.95</v>
      </c>
      <c r="L544">
        <v>0.0</v>
      </c>
      <c r="M544"/>
      <c r="N544"/>
      <c r="O544">
        <v>3.05</v>
      </c>
      <c r="P544">
        <v>0.0</v>
      </c>
      <c r="Q544">
        <v>20.0</v>
      </c>
      <c r="R544"/>
      <c r="S544"/>
      <c r="T544"/>
      <c r="U544"/>
      <c r="V544"/>
      <c r="W544">
        <v>18</v>
      </c>
    </row>
    <row r="545" spans="1:23">
      <c r="A545"/>
      <c r="B545" t="s">
        <v>83</v>
      </c>
      <c r="C545" t="s">
        <v>83</v>
      </c>
      <c r="D545" t="s">
        <v>33</v>
      </c>
      <c r="E545" t="s">
        <v>34</v>
      </c>
      <c r="F545" t="str">
        <f>"0014181"</f>
        <v>0014181</v>
      </c>
      <c r="G545">
        <v>1</v>
      </c>
      <c r="H545" t="str">
        <f>"00000001"</f>
        <v>00000001</v>
      </c>
      <c r="I545" t="s">
        <v>35</v>
      </c>
      <c r="J545"/>
      <c r="K545">
        <v>5.08</v>
      </c>
      <c r="L545">
        <v>0.0</v>
      </c>
      <c r="M545"/>
      <c r="N545"/>
      <c r="O545">
        <v>0.92</v>
      </c>
      <c r="P545">
        <v>0.0</v>
      </c>
      <c r="Q545">
        <v>6.0</v>
      </c>
      <c r="R545"/>
      <c r="S545"/>
      <c r="T545"/>
      <c r="U545"/>
      <c r="V545"/>
      <c r="W545">
        <v>18</v>
      </c>
    </row>
    <row r="546" spans="1:23">
      <c r="A546"/>
      <c r="B546" t="s">
        <v>83</v>
      </c>
      <c r="C546" t="s">
        <v>83</v>
      </c>
      <c r="D546" t="s">
        <v>33</v>
      </c>
      <c r="E546" t="s">
        <v>34</v>
      </c>
      <c r="F546" t="str">
        <f>"0014182"</f>
        <v>0014182</v>
      </c>
      <c r="G546">
        <v>1</v>
      </c>
      <c r="H546" t="str">
        <f>"00000001"</f>
        <v>00000001</v>
      </c>
      <c r="I546" t="s">
        <v>35</v>
      </c>
      <c r="J546"/>
      <c r="K546">
        <v>10.17</v>
      </c>
      <c r="L546">
        <v>0.0</v>
      </c>
      <c r="M546"/>
      <c r="N546"/>
      <c r="O546">
        <v>1.83</v>
      </c>
      <c r="P546">
        <v>0.0</v>
      </c>
      <c r="Q546">
        <v>12.0</v>
      </c>
      <c r="R546"/>
      <c r="S546"/>
      <c r="T546"/>
      <c r="U546"/>
      <c r="V546"/>
      <c r="W546">
        <v>18</v>
      </c>
    </row>
    <row r="547" spans="1:23">
      <c r="A547"/>
      <c r="B547" t="s">
        <v>87</v>
      </c>
      <c r="C547" t="s">
        <v>87</v>
      </c>
      <c r="D547" t="s">
        <v>33</v>
      </c>
      <c r="E547" t="s">
        <v>34</v>
      </c>
      <c r="F547" t="str">
        <f>"0014183"</f>
        <v>0014183</v>
      </c>
      <c r="G547">
        <v>1</v>
      </c>
      <c r="H547" t="str">
        <f>"00000001"</f>
        <v>00000001</v>
      </c>
      <c r="I547" t="s">
        <v>35</v>
      </c>
      <c r="J547"/>
      <c r="K547">
        <v>15.25</v>
      </c>
      <c r="L547">
        <v>0.0</v>
      </c>
      <c r="M547"/>
      <c r="N547"/>
      <c r="O547">
        <v>2.75</v>
      </c>
      <c r="P547">
        <v>0.0</v>
      </c>
      <c r="Q547">
        <v>18.0</v>
      </c>
      <c r="R547"/>
      <c r="S547"/>
      <c r="T547"/>
      <c r="U547"/>
      <c r="V547"/>
      <c r="W547">
        <v>18</v>
      </c>
    </row>
    <row r="548" spans="1:23">
      <c r="A548"/>
      <c r="B548" t="s">
        <v>87</v>
      </c>
      <c r="C548" t="s">
        <v>87</v>
      </c>
      <c r="D548" t="s">
        <v>33</v>
      </c>
      <c r="E548" t="s">
        <v>34</v>
      </c>
      <c r="F548" t="str">
        <f>"0014184"</f>
        <v>0014184</v>
      </c>
      <c r="G548">
        <v>1</v>
      </c>
      <c r="H548" t="str">
        <f>"41733586"</f>
        <v>41733586</v>
      </c>
      <c r="I548" t="s">
        <v>88</v>
      </c>
      <c r="J548"/>
      <c r="K548">
        <v>33.9</v>
      </c>
      <c r="L548">
        <v>0.0</v>
      </c>
      <c r="M548"/>
      <c r="N548"/>
      <c r="O548">
        <v>6.1</v>
      </c>
      <c r="P548">
        <v>0.0</v>
      </c>
      <c r="Q548">
        <v>40.0</v>
      </c>
      <c r="R548"/>
      <c r="S548"/>
      <c r="T548"/>
      <c r="U548"/>
      <c r="V548"/>
      <c r="W548">
        <v>18</v>
      </c>
    </row>
    <row r="549" spans="1:23">
      <c r="A549"/>
      <c r="B549" t="s">
        <v>87</v>
      </c>
      <c r="C549" t="s">
        <v>87</v>
      </c>
      <c r="D549" t="s">
        <v>33</v>
      </c>
      <c r="E549" t="s">
        <v>34</v>
      </c>
      <c r="F549" t="str">
        <f>"0014185"</f>
        <v>0014185</v>
      </c>
      <c r="G549">
        <v>1</v>
      </c>
      <c r="H549" t="str">
        <f>"00000001"</f>
        <v>00000001</v>
      </c>
      <c r="I549" t="s">
        <v>35</v>
      </c>
      <c r="J549"/>
      <c r="K549">
        <v>28.81</v>
      </c>
      <c r="L549">
        <v>0.0</v>
      </c>
      <c r="M549"/>
      <c r="N549"/>
      <c r="O549">
        <v>5.19</v>
      </c>
      <c r="P549">
        <v>0.0</v>
      </c>
      <c r="Q549">
        <v>34.0</v>
      </c>
      <c r="R549"/>
      <c r="S549"/>
      <c r="T549"/>
      <c r="U549"/>
      <c r="V549"/>
      <c r="W549">
        <v>18</v>
      </c>
    </row>
    <row r="550" spans="1:23">
      <c r="A550"/>
      <c r="B550" t="s">
        <v>87</v>
      </c>
      <c r="C550" t="s">
        <v>87</v>
      </c>
      <c r="D550" t="s">
        <v>33</v>
      </c>
      <c r="E550" t="s">
        <v>34</v>
      </c>
      <c r="F550" t="str">
        <f>"0014186"</f>
        <v>0014186</v>
      </c>
      <c r="G550">
        <v>1</v>
      </c>
      <c r="H550" t="str">
        <f>"00000001"</f>
        <v>00000001</v>
      </c>
      <c r="I550" t="s">
        <v>35</v>
      </c>
      <c r="J550"/>
      <c r="K550">
        <v>30.51</v>
      </c>
      <c r="L550">
        <v>0.0</v>
      </c>
      <c r="M550"/>
      <c r="N550"/>
      <c r="O550">
        <v>5.49</v>
      </c>
      <c r="P550">
        <v>0.0</v>
      </c>
      <c r="Q550">
        <v>36.0</v>
      </c>
      <c r="R550"/>
      <c r="S550"/>
      <c r="T550"/>
      <c r="U550"/>
      <c r="V550"/>
      <c r="W550">
        <v>18</v>
      </c>
    </row>
    <row r="551" spans="1:23">
      <c r="A551"/>
      <c r="B551" t="s">
        <v>87</v>
      </c>
      <c r="C551" t="s">
        <v>87</v>
      </c>
      <c r="D551" t="s">
        <v>33</v>
      </c>
      <c r="E551" t="s">
        <v>34</v>
      </c>
      <c r="F551" t="str">
        <f>"0014187"</f>
        <v>0014187</v>
      </c>
      <c r="G551">
        <v>1</v>
      </c>
      <c r="H551" t="str">
        <f>"00000001"</f>
        <v>00000001</v>
      </c>
      <c r="I551" t="s">
        <v>35</v>
      </c>
      <c r="J551"/>
      <c r="K551">
        <v>76.27</v>
      </c>
      <c r="L551">
        <v>0.0</v>
      </c>
      <c r="M551"/>
      <c r="N551"/>
      <c r="O551">
        <v>13.73</v>
      </c>
      <c r="P551">
        <v>0.0</v>
      </c>
      <c r="Q551">
        <v>90.0</v>
      </c>
      <c r="R551"/>
      <c r="S551"/>
      <c r="T551"/>
      <c r="U551"/>
      <c r="V551"/>
      <c r="W551">
        <v>18</v>
      </c>
    </row>
    <row r="552" spans="1:23">
      <c r="A552"/>
      <c r="B552" t="s">
        <v>87</v>
      </c>
      <c r="C552" t="s">
        <v>87</v>
      </c>
      <c r="D552" t="s">
        <v>33</v>
      </c>
      <c r="E552" t="s">
        <v>34</v>
      </c>
      <c r="F552" t="str">
        <f>"0014188"</f>
        <v>0014188</v>
      </c>
      <c r="G552">
        <v>1</v>
      </c>
      <c r="H552" t="str">
        <f>"00000001"</f>
        <v>00000001</v>
      </c>
      <c r="I552" t="s">
        <v>35</v>
      </c>
      <c r="J552"/>
      <c r="K552">
        <v>8.47</v>
      </c>
      <c r="L552">
        <v>0.0</v>
      </c>
      <c r="M552"/>
      <c r="N552"/>
      <c r="O552">
        <v>1.53</v>
      </c>
      <c r="P552">
        <v>0.0</v>
      </c>
      <c r="Q552">
        <v>10.0</v>
      </c>
      <c r="R552"/>
      <c r="S552"/>
      <c r="T552"/>
      <c r="U552"/>
      <c r="V552"/>
      <c r="W552">
        <v>18</v>
      </c>
    </row>
    <row r="553" spans="1:23">
      <c r="A553"/>
      <c r="B553" t="s">
        <v>87</v>
      </c>
      <c r="C553" t="s">
        <v>87</v>
      </c>
      <c r="D553" t="s">
        <v>33</v>
      </c>
      <c r="E553" t="s">
        <v>34</v>
      </c>
      <c r="F553" t="str">
        <f>"0014189"</f>
        <v>0014189</v>
      </c>
      <c r="G553">
        <v>1</v>
      </c>
      <c r="H553" t="str">
        <f>"00000001"</f>
        <v>00000001</v>
      </c>
      <c r="I553" t="s">
        <v>35</v>
      </c>
      <c r="J553"/>
      <c r="K553">
        <v>11.02</v>
      </c>
      <c r="L553">
        <v>0.0</v>
      </c>
      <c r="M553"/>
      <c r="N553"/>
      <c r="O553">
        <v>1.98</v>
      </c>
      <c r="P553">
        <v>0.0</v>
      </c>
      <c r="Q553">
        <v>13.0</v>
      </c>
      <c r="R553"/>
      <c r="S553"/>
      <c r="T553"/>
      <c r="U553"/>
      <c r="V553"/>
      <c r="W553">
        <v>18</v>
      </c>
    </row>
    <row r="554" spans="1:23">
      <c r="A554"/>
      <c r="B554" t="s">
        <v>87</v>
      </c>
      <c r="C554" t="s">
        <v>87</v>
      </c>
      <c r="D554" t="s">
        <v>33</v>
      </c>
      <c r="E554" t="s">
        <v>34</v>
      </c>
      <c r="F554" t="str">
        <f>"0014190"</f>
        <v>0014190</v>
      </c>
      <c r="G554">
        <v>1</v>
      </c>
      <c r="H554" t="str">
        <f>"00000001"</f>
        <v>00000001</v>
      </c>
      <c r="I554" t="s">
        <v>35</v>
      </c>
      <c r="J554"/>
      <c r="K554">
        <v>13.56</v>
      </c>
      <c r="L554">
        <v>0.0</v>
      </c>
      <c r="M554"/>
      <c r="N554"/>
      <c r="O554">
        <v>2.44</v>
      </c>
      <c r="P554">
        <v>0.0</v>
      </c>
      <c r="Q554">
        <v>16.0</v>
      </c>
      <c r="R554"/>
      <c r="S554"/>
      <c r="T554"/>
      <c r="U554"/>
      <c r="V554"/>
      <c r="W554">
        <v>18</v>
      </c>
    </row>
    <row r="555" spans="1:23">
      <c r="A555"/>
      <c r="B555" t="s">
        <v>87</v>
      </c>
      <c r="C555" t="s">
        <v>87</v>
      </c>
      <c r="D555" t="s">
        <v>33</v>
      </c>
      <c r="E555" t="s">
        <v>34</v>
      </c>
      <c r="F555" t="str">
        <f>"0014191"</f>
        <v>0014191</v>
      </c>
      <c r="G555">
        <v>1</v>
      </c>
      <c r="H555" t="str">
        <f>"00000001"</f>
        <v>00000001</v>
      </c>
      <c r="I555" t="s">
        <v>35</v>
      </c>
      <c r="J555"/>
      <c r="K555">
        <v>8.47</v>
      </c>
      <c r="L555">
        <v>0.0</v>
      </c>
      <c r="M555"/>
      <c r="N555"/>
      <c r="O555">
        <v>1.53</v>
      </c>
      <c r="P555">
        <v>0.0</v>
      </c>
      <c r="Q555">
        <v>10.0</v>
      </c>
      <c r="R555"/>
      <c r="S555"/>
      <c r="T555"/>
      <c r="U555"/>
      <c r="V555"/>
      <c r="W555">
        <v>18</v>
      </c>
    </row>
    <row r="556" spans="1:23">
      <c r="A556"/>
      <c r="B556" t="s">
        <v>87</v>
      </c>
      <c r="C556" t="s">
        <v>87</v>
      </c>
      <c r="D556" t="s">
        <v>33</v>
      </c>
      <c r="E556" t="s">
        <v>34</v>
      </c>
      <c r="F556" t="str">
        <f>"0014192"</f>
        <v>0014192</v>
      </c>
      <c r="G556">
        <v>1</v>
      </c>
      <c r="H556" t="str">
        <f>"00000001"</f>
        <v>00000001</v>
      </c>
      <c r="I556" t="s">
        <v>35</v>
      </c>
      <c r="J556"/>
      <c r="K556">
        <v>10.17</v>
      </c>
      <c r="L556">
        <v>0.0</v>
      </c>
      <c r="M556"/>
      <c r="N556"/>
      <c r="O556">
        <v>1.83</v>
      </c>
      <c r="P556">
        <v>0.0</v>
      </c>
      <c r="Q556">
        <v>12.0</v>
      </c>
      <c r="R556"/>
      <c r="S556"/>
      <c r="T556"/>
      <c r="U556"/>
      <c r="V556"/>
      <c r="W556">
        <v>18</v>
      </c>
    </row>
    <row r="557" spans="1:23">
      <c r="A557"/>
      <c r="B557" t="s">
        <v>87</v>
      </c>
      <c r="C557" t="s">
        <v>87</v>
      </c>
      <c r="D557" t="s">
        <v>33</v>
      </c>
      <c r="E557" t="s">
        <v>34</v>
      </c>
      <c r="F557" t="str">
        <f>"0014193"</f>
        <v>0014193</v>
      </c>
      <c r="G557">
        <v>1</v>
      </c>
      <c r="H557" t="str">
        <f>"00000001"</f>
        <v>00000001</v>
      </c>
      <c r="I557" t="s">
        <v>35</v>
      </c>
      <c r="J557"/>
      <c r="K557">
        <v>16.95</v>
      </c>
      <c r="L557">
        <v>0.0</v>
      </c>
      <c r="M557"/>
      <c r="N557"/>
      <c r="O557">
        <v>3.05</v>
      </c>
      <c r="P557">
        <v>0.0</v>
      </c>
      <c r="Q557">
        <v>20.0</v>
      </c>
      <c r="R557"/>
      <c r="S557"/>
      <c r="T557"/>
      <c r="U557"/>
      <c r="V557"/>
      <c r="W557">
        <v>18</v>
      </c>
    </row>
    <row r="558" spans="1:23">
      <c r="A558"/>
      <c r="B558" t="s">
        <v>87</v>
      </c>
      <c r="C558" t="s">
        <v>87</v>
      </c>
      <c r="D558" t="s">
        <v>33</v>
      </c>
      <c r="E558" t="s">
        <v>34</v>
      </c>
      <c r="F558" t="str">
        <f>"0014194"</f>
        <v>0014194</v>
      </c>
      <c r="G558">
        <v>1</v>
      </c>
      <c r="H558" t="str">
        <f>"00000001"</f>
        <v>00000001</v>
      </c>
      <c r="I558" t="s">
        <v>35</v>
      </c>
      <c r="J558"/>
      <c r="K558">
        <v>8.47</v>
      </c>
      <c r="L558">
        <v>0.0</v>
      </c>
      <c r="M558"/>
      <c r="N558"/>
      <c r="O558">
        <v>1.53</v>
      </c>
      <c r="P558">
        <v>0.0</v>
      </c>
      <c r="Q558">
        <v>10.0</v>
      </c>
      <c r="R558"/>
      <c r="S558"/>
      <c r="T558"/>
      <c r="U558"/>
      <c r="V558"/>
      <c r="W558">
        <v>18</v>
      </c>
    </row>
    <row r="559" spans="1:23">
      <c r="A559"/>
      <c r="B559" t="s">
        <v>87</v>
      </c>
      <c r="C559" t="s">
        <v>87</v>
      </c>
      <c r="D559" t="s">
        <v>33</v>
      </c>
      <c r="E559" t="s">
        <v>34</v>
      </c>
      <c r="F559" t="str">
        <f>"0014195"</f>
        <v>0014195</v>
      </c>
      <c r="G559">
        <v>1</v>
      </c>
      <c r="H559" t="str">
        <f>"00000001"</f>
        <v>00000001</v>
      </c>
      <c r="I559" t="s">
        <v>35</v>
      </c>
      <c r="J559"/>
      <c r="K559">
        <v>6.78</v>
      </c>
      <c r="L559">
        <v>0.0</v>
      </c>
      <c r="M559"/>
      <c r="N559"/>
      <c r="O559">
        <v>1.22</v>
      </c>
      <c r="P559">
        <v>0.0</v>
      </c>
      <c r="Q559">
        <v>8.0</v>
      </c>
      <c r="R559"/>
      <c r="S559"/>
      <c r="T559"/>
      <c r="U559"/>
      <c r="V559"/>
      <c r="W559">
        <v>18</v>
      </c>
    </row>
    <row r="560" spans="1:23">
      <c r="A560"/>
      <c r="B560" t="s">
        <v>87</v>
      </c>
      <c r="C560" t="s">
        <v>87</v>
      </c>
      <c r="D560" t="s">
        <v>33</v>
      </c>
      <c r="E560" t="s">
        <v>34</v>
      </c>
      <c r="F560" t="str">
        <f>"0014196"</f>
        <v>0014196</v>
      </c>
      <c r="G560">
        <v>1</v>
      </c>
      <c r="H560" t="str">
        <f>"00000001"</f>
        <v>00000001</v>
      </c>
      <c r="I560" t="s">
        <v>35</v>
      </c>
      <c r="J560"/>
      <c r="K560">
        <v>9.75</v>
      </c>
      <c r="L560">
        <v>0.0</v>
      </c>
      <c r="M560"/>
      <c r="N560"/>
      <c r="O560">
        <v>1.75</v>
      </c>
      <c r="P560">
        <v>0.0</v>
      </c>
      <c r="Q560">
        <v>11.5</v>
      </c>
      <c r="R560"/>
      <c r="S560"/>
      <c r="T560"/>
      <c r="U560"/>
      <c r="V560"/>
      <c r="W560">
        <v>18</v>
      </c>
    </row>
    <row r="561" spans="1:23">
      <c r="A561"/>
      <c r="B561" t="s">
        <v>87</v>
      </c>
      <c r="C561" t="s">
        <v>87</v>
      </c>
      <c r="D561" t="s">
        <v>33</v>
      </c>
      <c r="E561" t="s">
        <v>34</v>
      </c>
      <c r="F561" t="str">
        <f>"0014197"</f>
        <v>0014197</v>
      </c>
      <c r="G561">
        <v>1</v>
      </c>
      <c r="H561" t="str">
        <f>"00000001"</f>
        <v>00000001</v>
      </c>
      <c r="I561" t="s">
        <v>35</v>
      </c>
      <c r="J561"/>
      <c r="K561">
        <v>3.39</v>
      </c>
      <c r="L561">
        <v>0.0</v>
      </c>
      <c r="M561"/>
      <c r="N561"/>
      <c r="O561">
        <v>0.61</v>
      </c>
      <c r="P561">
        <v>0.0</v>
      </c>
      <c r="Q561">
        <v>4.0</v>
      </c>
      <c r="R561"/>
      <c r="S561"/>
      <c r="T561"/>
      <c r="U561"/>
      <c r="V561"/>
      <c r="W561">
        <v>18</v>
      </c>
    </row>
    <row r="562" spans="1:23">
      <c r="A562"/>
      <c r="B562" t="s">
        <v>87</v>
      </c>
      <c r="C562" t="s">
        <v>87</v>
      </c>
      <c r="D562" t="s">
        <v>33</v>
      </c>
      <c r="E562" t="s">
        <v>34</v>
      </c>
      <c r="F562" t="str">
        <f>"0014198"</f>
        <v>0014198</v>
      </c>
      <c r="G562">
        <v>1</v>
      </c>
      <c r="H562" t="str">
        <f>"00000001"</f>
        <v>00000001</v>
      </c>
      <c r="I562" t="s">
        <v>35</v>
      </c>
      <c r="J562"/>
      <c r="K562">
        <v>4.24</v>
      </c>
      <c r="L562">
        <v>0.0</v>
      </c>
      <c r="M562"/>
      <c r="N562"/>
      <c r="O562">
        <v>0.76</v>
      </c>
      <c r="P562">
        <v>0.0</v>
      </c>
      <c r="Q562">
        <v>5.0</v>
      </c>
      <c r="R562"/>
      <c r="S562"/>
      <c r="T562"/>
      <c r="U562"/>
      <c r="V562"/>
      <c r="W562">
        <v>18</v>
      </c>
    </row>
    <row r="563" spans="1:23">
      <c r="A563"/>
      <c r="B563" t="s">
        <v>87</v>
      </c>
      <c r="C563" t="s">
        <v>87</v>
      </c>
      <c r="D563" t="s">
        <v>33</v>
      </c>
      <c r="E563" t="s">
        <v>34</v>
      </c>
      <c r="F563" t="str">
        <f>"0014199"</f>
        <v>0014199</v>
      </c>
      <c r="G563">
        <v>1</v>
      </c>
      <c r="H563" t="str">
        <f>"00000001"</f>
        <v>00000001</v>
      </c>
      <c r="I563" t="s">
        <v>35</v>
      </c>
      <c r="J563"/>
      <c r="K563">
        <v>3.81</v>
      </c>
      <c r="L563">
        <v>0.0</v>
      </c>
      <c r="M563"/>
      <c r="N563"/>
      <c r="O563">
        <v>0.69</v>
      </c>
      <c r="P563">
        <v>0.0</v>
      </c>
      <c r="Q563">
        <v>4.5</v>
      </c>
      <c r="R563"/>
      <c r="S563"/>
      <c r="T563"/>
      <c r="U563"/>
      <c r="V563"/>
      <c r="W563">
        <v>18</v>
      </c>
    </row>
    <row r="564" spans="1:23">
      <c r="A564"/>
      <c r="B564" t="s">
        <v>87</v>
      </c>
      <c r="C564" t="s">
        <v>87</v>
      </c>
      <c r="D564" t="s">
        <v>33</v>
      </c>
      <c r="E564" t="s">
        <v>34</v>
      </c>
      <c r="F564" t="str">
        <f>"0014200"</f>
        <v>0014200</v>
      </c>
      <c r="G564">
        <v>1</v>
      </c>
      <c r="H564" t="str">
        <f>"00000001"</f>
        <v>00000001</v>
      </c>
      <c r="I564" t="s">
        <v>35</v>
      </c>
      <c r="J564"/>
      <c r="K564">
        <v>16.95</v>
      </c>
      <c r="L564">
        <v>0.0</v>
      </c>
      <c r="M564"/>
      <c r="N564"/>
      <c r="O564">
        <v>3.05</v>
      </c>
      <c r="P564">
        <v>0.0</v>
      </c>
      <c r="Q564">
        <v>20.0</v>
      </c>
      <c r="R564"/>
      <c r="S564"/>
      <c r="T564"/>
      <c r="U564"/>
      <c r="V564"/>
      <c r="W564">
        <v>18</v>
      </c>
    </row>
    <row r="565" spans="1:23">
      <c r="A565"/>
      <c r="B565" t="s">
        <v>87</v>
      </c>
      <c r="C565" t="s">
        <v>87</v>
      </c>
      <c r="D565" t="s">
        <v>33</v>
      </c>
      <c r="E565" t="s">
        <v>34</v>
      </c>
      <c r="F565" t="str">
        <f>"0014201"</f>
        <v>0014201</v>
      </c>
      <c r="G565">
        <v>1</v>
      </c>
      <c r="H565" t="str">
        <f>"00000001"</f>
        <v>00000001</v>
      </c>
      <c r="I565" t="s">
        <v>35</v>
      </c>
      <c r="J565"/>
      <c r="K565">
        <v>30.51</v>
      </c>
      <c r="L565">
        <v>0.0</v>
      </c>
      <c r="M565"/>
      <c r="N565"/>
      <c r="O565">
        <v>5.49</v>
      </c>
      <c r="P565">
        <v>0.0</v>
      </c>
      <c r="Q565">
        <v>36.0</v>
      </c>
      <c r="R565"/>
      <c r="S565"/>
      <c r="T565"/>
      <c r="U565"/>
      <c r="V565"/>
      <c r="W565">
        <v>18</v>
      </c>
    </row>
    <row r="566" spans="1:23">
      <c r="A566"/>
      <c r="B566" t="s">
        <v>87</v>
      </c>
      <c r="C566" t="s">
        <v>87</v>
      </c>
      <c r="D566" t="s">
        <v>33</v>
      </c>
      <c r="E566" t="s">
        <v>34</v>
      </c>
      <c r="F566" t="str">
        <f>"0014202"</f>
        <v>0014202</v>
      </c>
      <c r="G566">
        <v>1</v>
      </c>
      <c r="H566" t="str">
        <f>"00000001"</f>
        <v>00000001</v>
      </c>
      <c r="I566" t="s">
        <v>35</v>
      </c>
      <c r="J566"/>
      <c r="K566">
        <v>6.78</v>
      </c>
      <c r="L566">
        <v>0.0</v>
      </c>
      <c r="M566"/>
      <c r="N566"/>
      <c r="O566">
        <v>1.22</v>
      </c>
      <c r="P566">
        <v>0.0</v>
      </c>
      <c r="Q566">
        <v>8.0</v>
      </c>
      <c r="R566"/>
      <c r="S566"/>
      <c r="T566"/>
      <c r="U566"/>
      <c r="V566"/>
      <c r="W566">
        <v>18</v>
      </c>
    </row>
    <row r="567" spans="1:23">
      <c r="A567"/>
      <c r="B567" t="s">
        <v>87</v>
      </c>
      <c r="C567" t="s">
        <v>87</v>
      </c>
      <c r="D567" t="s">
        <v>33</v>
      </c>
      <c r="E567" t="s">
        <v>34</v>
      </c>
      <c r="F567" t="str">
        <f>"0014203"</f>
        <v>0014203</v>
      </c>
      <c r="G567">
        <v>1</v>
      </c>
      <c r="H567" t="str">
        <f>"00000001"</f>
        <v>00000001</v>
      </c>
      <c r="I567" t="s">
        <v>35</v>
      </c>
      <c r="J567"/>
      <c r="K567">
        <v>10.59</v>
      </c>
      <c r="L567">
        <v>0.0</v>
      </c>
      <c r="M567"/>
      <c r="N567"/>
      <c r="O567">
        <v>1.91</v>
      </c>
      <c r="P567">
        <v>0.0</v>
      </c>
      <c r="Q567">
        <v>12.5</v>
      </c>
      <c r="R567"/>
      <c r="S567"/>
      <c r="T567"/>
      <c r="U567"/>
      <c r="V567"/>
      <c r="W567">
        <v>18</v>
      </c>
    </row>
    <row r="568" spans="1:23">
      <c r="A568"/>
      <c r="B568" t="s">
        <v>87</v>
      </c>
      <c r="C568" t="s">
        <v>87</v>
      </c>
      <c r="D568" t="s">
        <v>33</v>
      </c>
      <c r="E568" t="s">
        <v>34</v>
      </c>
      <c r="F568" t="str">
        <f>"0014204"</f>
        <v>0014204</v>
      </c>
      <c r="G568">
        <v>1</v>
      </c>
      <c r="H568" t="str">
        <f>"00000001"</f>
        <v>00000001</v>
      </c>
      <c r="I568" t="s">
        <v>35</v>
      </c>
      <c r="J568"/>
      <c r="K568">
        <v>5.51</v>
      </c>
      <c r="L568">
        <v>0.0</v>
      </c>
      <c r="M568"/>
      <c r="N568"/>
      <c r="O568">
        <v>0.99</v>
      </c>
      <c r="P568">
        <v>0.0</v>
      </c>
      <c r="Q568">
        <v>6.5</v>
      </c>
      <c r="R568"/>
      <c r="S568"/>
      <c r="T568"/>
      <c r="U568"/>
      <c r="V568"/>
      <c r="W568">
        <v>18</v>
      </c>
    </row>
    <row r="569" spans="1:23">
      <c r="A569"/>
      <c r="B569" t="s">
        <v>87</v>
      </c>
      <c r="C569" t="s">
        <v>87</v>
      </c>
      <c r="D569" t="s">
        <v>33</v>
      </c>
      <c r="E569" t="s">
        <v>34</v>
      </c>
      <c r="F569" t="str">
        <f>"0014205"</f>
        <v>0014205</v>
      </c>
      <c r="G569">
        <v>1</v>
      </c>
      <c r="H569" t="str">
        <f>"00000001"</f>
        <v>00000001</v>
      </c>
      <c r="I569" t="s">
        <v>35</v>
      </c>
      <c r="J569"/>
      <c r="K569">
        <v>15.25</v>
      </c>
      <c r="L569">
        <v>0.0</v>
      </c>
      <c r="M569"/>
      <c r="N569"/>
      <c r="O569">
        <v>2.75</v>
      </c>
      <c r="P569">
        <v>0.0</v>
      </c>
      <c r="Q569">
        <v>18.0</v>
      </c>
      <c r="R569"/>
      <c r="S569"/>
      <c r="T569"/>
      <c r="U569"/>
      <c r="V569"/>
      <c r="W569">
        <v>18</v>
      </c>
    </row>
    <row r="570" spans="1:23">
      <c r="A570"/>
      <c r="B570" t="s">
        <v>87</v>
      </c>
      <c r="C570" t="s">
        <v>87</v>
      </c>
      <c r="D570" t="s">
        <v>33</v>
      </c>
      <c r="E570" t="s">
        <v>34</v>
      </c>
      <c r="F570" t="str">
        <f>"0014206"</f>
        <v>0014206</v>
      </c>
      <c r="G570">
        <v>1</v>
      </c>
      <c r="H570" t="str">
        <f>"00000001"</f>
        <v>00000001</v>
      </c>
      <c r="I570" t="s">
        <v>35</v>
      </c>
      <c r="J570"/>
      <c r="K570">
        <v>30.93</v>
      </c>
      <c r="L570">
        <v>0.0</v>
      </c>
      <c r="M570"/>
      <c r="N570"/>
      <c r="O570">
        <v>5.57</v>
      </c>
      <c r="P570">
        <v>0.0</v>
      </c>
      <c r="Q570">
        <v>36.5</v>
      </c>
      <c r="R570"/>
      <c r="S570"/>
      <c r="T570"/>
      <c r="U570"/>
      <c r="V570"/>
      <c r="W570">
        <v>18</v>
      </c>
    </row>
    <row r="571" spans="1:23">
      <c r="A571"/>
      <c r="B571" t="s">
        <v>87</v>
      </c>
      <c r="C571" t="s">
        <v>87</v>
      </c>
      <c r="D571" t="s">
        <v>33</v>
      </c>
      <c r="E571" t="s">
        <v>34</v>
      </c>
      <c r="F571" t="str">
        <f>"0014207"</f>
        <v>0014207</v>
      </c>
      <c r="G571">
        <v>1</v>
      </c>
      <c r="H571" t="str">
        <f>"00000001"</f>
        <v>00000001</v>
      </c>
      <c r="I571" t="s">
        <v>35</v>
      </c>
      <c r="J571"/>
      <c r="K571">
        <v>9.32</v>
      </c>
      <c r="L571">
        <v>0.0</v>
      </c>
      <c r="M571"/>
      <c r="N571"/>
      <c r="O571">
        <v>1.68</v>
      </c>
      <c r="P571">
        <v>0.0</v>
      </c>
      <c r="Q571">
        <v>11.0</v>
      </c>
      <c r="R571"/>
      <c r="S571"/>
      <c r="T571"/>
      <c r="U571"/>
      <c r="V571"/>
      <c r="W571">
        <v>18</v>
      </c>
    </row>
    <row r="572" spans="1:23">
      <c r="A572"/>
      <c r="B572" t="s">
        <v>87</v>
      </c>
      <c r="C572" t="s">
        <v>87</v>
      </c>
      <c r="D572" t="s">
        <v>33</v>
      </c>
      <c r="E572" t="s">
        <v>34</v>
      </c>
      <c r="F572" t="str">
        <f>"0014208"</f>
        <v>0014208</v>
      </c>
      <c r="G572">
        <v>1</v>
      </c>
      <c r="H572" t="str">
        <f>"00000001"</f>
        <v>00000001</v>
      </c>
      <c r="I572" t="s">
        <v>35</v>
      </c>
      <c r="J572"/>
      <c r="K572">
        <v>110.17</v>
      </c>
      <c r="L572">
        <v>0.0</v>
      </c>
      <c r="M572"/>
      <c r="N572"/>
      <c r="O572">
        <v>19.83</v>
      </c>
      <c r="P572">
        <v>0.0</v>
      </c>
      <c r="Q572">
        <v>130.0</v>
      </c>
      <c r="R572"/>
      <c r="S572"/>
      <c r="T572"/>
      <c r="U572"/>
      <c r="V572"/>
      <c r="W572">
        <v>18</v>
      </c>
    </row>
    <row r="573" spans="1:23">
      <c r="A573"/>
      <c r="B573" t="s">
        <v>87</v>
      </c>
      <c r="C573" t="s">
        <v>87</v>
      </c>
      <c r="D573" t="s">
        <v>33</v>
      </c>
      <c r="E573" t="s">
        <v>34</v>
      </c>
      <c r="F573" t="str">
        <f>"0014209"</f>
        <v>0014209</v>
      </c>
      <c r="G573">
        <v>1</v>
      </c>
      <c r="H573" t="str">
        <f>"00000001"</f>
        <v>00000001</v>
      </c>
      <c r="I573" t="s">
        <v>35</v>
      </c>
      <c r="J573"/>
      <c r="K573">
        <v>28.81</v>
      </c>
      <c r="L573">
        <v>0.0</v>
      </c>
      <c r="M573"/>
      <c r="N573"/>
      <c r="O573">
        <v>5.19</v>
      </c>
      <c r="P573">
        <v>0.0</v>
      </c>
      <c r="Q573">
        <v>34.0</v>
      </c>
      <c r="R573"/>
      <c r="S573"/>
      <c r="T573"/>
      <c r="U573"/>
      <c r="V573"/>
      <c r="W573">
        <v>18</v>
      </c>
    </row>
    <row r="574" spans="1:23">
      <c r="A574"/>
      <c r="B574" t="s">
        <v>87</v>
      </c>
      <c r="C574" t="s">
        <v>87</v>
      </c>
      <c r="D574" t="s">
        <v>33</v>
      </c>
      <c r="E574" t="s">
        <v>34</v>
      </c>
      <c r="F574" t="str">
        <f>"0014210"</f>
        <v>0014210</v>
      </c>
      <c r="G574">
        <v>1</v>
      </c>
      <c r="H574" t="str">
        <f>"00000001"</f>
        <v>00000001</v>
      </c>
      <c r="I574" t="s">
        <v>35</v>
      </c>
      <c r="J574"/>
      <c r="K574">
        <v>11.86</v>
      </c>
      <c r="L574">
        <v>0.0</v>
      </c>
      <c r="M574"/>
      <c r="N574"/>
      <c r="O574">
        <v>2.14</v>
      </c>
      <c r="P574">
        <v>0.0</v>
      </c>
      <c r="Q574">
        <v>14.0</v>
      </c>
      <c r="R574"/>
      <c r="S574"/>
      <c r="T574"/>
      <c r="U574"/>
      <c r="V574"/>
      <c r="W574">
        <v>18</v>
      </c>
    </row>
    <row r="575" spans="1:23">
      <c r="A575"/>
      <c r="B575" t="s">
        <v>87</v>
      </c>
      <c r="C575" t="s">
        <v>87</v>
      </c>
      <c r="D575" t="s">
        <v>33</v>
      </c>
      <c r="E575" t="s">
        <v>34</v>
      </c>
      <c r="F575" t="str">
        <f>"0014211"</f>
        <v>0014211</v>
      </c>
      <c r="G575">
        <v>1</v>
      </c>
      <c r="H575" t="str">
        <f>"00000001"</f>
        <v>00000001</v>
      </c>
      <c r="I575" t="s">
        <v>35</v>
      </c>
      <c r="J575"/>
      <c r="K575">
        <v>61.53</v>
      </c>
      <c r="L575">
        <v>0.0</v>
      </c>
      <c r="M575"/>
      <c r="N575"/>
      <c r="O575">
        <v>11.07</v>
      </c>
      <c r="P575">
        <v>0.0</v>
      </c>
      <c r="Q575">
        <v>72.6</v>
      </c>
      <c r="R575"/>
      <c r="S575"/>
      <c r="T575"/>
      <c r="U575"/>
      <c r="V575"/>
      <c r="W575">
        <v>18</v>
      </c>
    </row>
    <row r="576" spans="1:23">
      <c r="A576"/>
      <c r="B576" t="s">
        <v>87</v>
      </c>
      <c r="C576" t="s">
        <v>87</v>
      </c>
      <c r="D576" t="s">
        <v>33</v>
      </c>
      <c r="E576" t="s">
        <v>34</v>
      </c>
      <c r="F576" t="str">
        <f>"0014212"</f>
        <v>0014212</v>
      </c>
      <c r="G576">
        <v>1</v>
      </c>
      <c r="H576" t="str">
        <f>"00000001"</f>
        <v>00000001</v>
      </c>
      <c r="I576" t="s">
        <v>35</v>
      </c>
      <c r="J576"/>
      <c r="K576">
        <v>25.42</v>
      </c>
      <c r="L576">
        <v>0.0</v>
      </c>
      <c r="M576"/>
      <c r="N576"/>
      <c r="O576">
        <v>4.58</v>
      </c>
      <c r="P576">
        <v>0.0</v>
      </c>
      <c r="Q576">
        <v>30.0</v>
      </c>
      <c r="R576"/>
      <c r="S576"/>
      <c r="T576"/>
      <c r="U576"/>
      <c r="V576"/>
      <c r="W576">
        <v>18</v>
      </c>
    </row>
    <row r="577" spans="1:23">
      <c r="A577"/>
      <c r="B577" t="s">
        <v>87</v>
      </c>
      <c r="C577" t="s">
        <v>87</v>
      </c>
      <c r="D577" t="s">
        <v>33</v>
      </c>
      <c r="E577" t="s">
        <v>34</v>
      </c>
      <c r="F577" t="str">
        <f>"0014213"</f>
        <v>0014213</v>
      </c>
      <c r="G577">
        <v>1</v>
      </c>
      <c r="H577" t="str">
        <f>"00000001"</f>
        <v>00000001</v>
      </c>
      <c r="I577" t="s">
        <v>35</v>
      </c>
      <c r="J577"/>
      <c r="K577">
        <v>40.68</v>
      </c>
      <c r="L577">
        <v>0.0</v>
      </c>
      <c r="M577"/>
      <c r="N577"/>
      <c r="O577">
        <v>7.32</v>
      </c>
      <c r="P577">
        <v>0.0</v>
      </c>
      <c r="Q577">
        <v>48.0</v>
      </c>
      <c r="R577"/>
      <c r="S577"/>
      <c r="T577"/>
      <c r="U577"/>
      <c r="V577"/>
      <c r="W577">
        <v>18</v>
      </c>
    </row>
    <row r="578" spans="1:23">
      <c r="A578"/>
      <c r="B578" t="s">
        <v>87</v>
      </c>
      <c r="C578" t="s">
        <v>87</v>
      </c>
      <c r="D578" t="s">
        <v>33</v>
      </c>
      <c r="E578" t="s">
        <v>34</v>
      </c>
      <c r="F578" t="str">
        <f>"0014214"</f>
        <v>0014214</v>
      </c>
      <c r="G578">
        <v>1</v>
      </c>
      <c r="H578" t="str">
        <f>"00000001"</f>
        <v>00000001</v>
      </c>
      <c r="I578" t="s">
        <v>35</v>
      </c>
      <c r="J578"/>
      <c r="K578">
        <v>8.47</v>
      </c>
      <c r="L578">
        <v>0.0</v>
      </c>
      <c r="M578"/>
      <c r="N578"/>
      <c r="O578">
        <v>1.53</v>
      </c>
      <c r="P578">
        <v>0.0</v>
      </c>
      <c r="Q578">
        <v>10.0</v>
      </c>
      <c r="R578"/>
      <c r="S578"/>
      <c r="T578"/>
      <c r="U578"/>
      <c r="V578"/>
      <c r="W578">
        <v>18</v>
      </c>
    </row>
    <row r="579" spans="1:23">
      <c r="A579"/>
      <c r="B579" t="s">
        <v>87</v>
      </c>
      <c r="C579" t="s">
        <v>87</v>
      </c>
      <c r="D579" t="s">
        <v>33</v>
      </c>
      <c r="E579" t="s">
        <v>34</v>
      </c>
      <c r="F579" t="str">
        <f>"0014215"</f>
        <v>0014215</v>
      </c>
      <c r="G579">
        <v>1</v>
      </c>
      <c r="H579" t="str">
        <f>"00000001"</f>
        <v>00000001</v>
      </c>
      <c r="I579" t="s">
        <v>35</v>
      </c>
      <c r="J579"/>
      <c r="K579">
        <v>4.24</v>
      </c>
      <c r="L579">
        <v>0.0</v>
      </c>
      <c r="M579"/>
      <c r="N579"/>
      <c r="O579">
        <v>0.76</v>
      </c>
      <c r="P579">
        <v>0.0</v>
      </c>
      <c r="Q579">
        <v>5.0</v>
      </c>
      <c r="R579"/>
      <c r="S579"/>
      <c r="T579"/>
      <c r="U579"/>
      <c r="V579"/>
      <c r="W579">
        <v>18</v>
      </c>
    </row>
    <row r="580" spans="1:23">
      <c r="A580"/>
      <c r="B580" t="s">
        <v>87</v>
      </c>
      <c r="C580" t="s">
        <v>87</v>
      </c>
      <c r="D580" t="s">
        <v>33</v>
      </c>
      <c r="E580" t="s">
        <v>34</v>
      </c>
      <c r="F580" t="str">
        <f>"0014216"</f>
        <v>0014216</v>
      </c>
      <c r="G580">
        <v>1</v>
      </c>
      <c r="H580" t="str">
        <f>"00000001"</f>
        <v>00000001</v>
      </c>
      <c r="I580" t="s">
        <v>35</v>
      </c>
      <c r="J580"/>
      <c r="K580">
        <v>20.34</v>
      </c>
      <c r="L580">
        <v>0.0</v>
      </c>
      <c r="M580"/>
      <c r="N580"/>
      <c r="O580">
        <v>3.66</v>
      </c>
      <c r="P580">
        <v>0.0</v>
      </c>
      <c r="Q580">
        <v>24.0</v>
      </c>
      <c r="R580"/>
      <c r="S580"/>
      <c r="T580"/>
      <c r="U580"/>
      <c r="V580"/>
      <c r="W580">
        <v>18</v>
      </c>
    </row>
    <row r="581" spans="1:23">
      <c r="A581"/>
      <c r="B581" t="s">
        <v>87</v>
      </c>
      <c r="C581" t="s">
        <v>87</v>
      </c>
      <c r="D581" t="s">
        <v>33</v>
      </c>
      <c r="E581" t="s">
        <v>34</v>
      </c>
      <c r="F581" t="str">
        <f>"0014217"</f>
        <v>0014217</v>
      </c>
      <c r="G581">
        <v>1</v>
      </c>
      <c r="H581" t="str">
        <f>"00000001"</f>
        <v>00000001</v>
      </c>
      <c r="I581" t="s">
        <v>35</v>
      </c>
      <c r="J581"/>
      <c r="K581">
        <v>22.46</v>
      </c>
      <c r="L581">
        <v>0.0</v>
      </c>
      <c r="M581"/>
      <c r="N581"/>
      <c r="O581">
        <v>4.04</v>
      </c>
      <c r="P581">
        <v>0.0</v>
      </c>
      <c r="Q581">
        <v>26.5</v>
      </c>
      <c r="R581"/>
      <c r="S581"/>
      <c r="T581"/>
      <c r="U581"/>
      <c r="V581"/>
      <c r="W581">
        <v>18</v>
      </c>
    </row>
    <row r="582" spans="1:23">
      <c r="A582"/>
      <c r="B582" t="s">
        <v>87</v>
      </c>
      <c r="C582" t="s">
        <v>87</v>
      </c>
      <c r="D582" t="s">
        <v>33</v>
      </c>
      <c r="E582" t="s">
        <v>34</v>
      </c>
      <c r="F582" t="str">
        <f>"0014218"</f>
        <v>0014218</v>
      </c>
      <c r="G582">
        <v>1</v>
      </c>
      <c r="H582" t="str">
        <f>"00000001"</f>
        <v>00000001</v>
      </c>
      <c r="I582" t="s">
        <v>35</v>
      </c>
      <c r="J582"/>
      <c r="K582">
        <v>11.02</v>
      </c>
      <c r="L582">
        <v>0.0</v>
      </c>
      <c r="M582"/>
      <c r="N582"/>
      <c r="O582">
        <v>1.98</v>
      </c>
      <c r="P582">
        <v>0.0</v>
      </c>
      <c r="Q582">
        <v>13.0</v>
      </c>
      <c r="R582"/>
      <c r="S582"/>
      <c r="T582"/>
      <c r="U582"/>
      <c r="V582"/>
      <c r="W582">
        <v>18</v>
      </c>
    </row>
    <row r="583" spans="1:23">
      <c r="A583"/>
      <c r="B583" t="s">
        <v>87</v>
      </c>
      <c r="C583" t="s">
        <v>87</v>
      </c>
      <c r="D583" t="s">
        <v>33</v>
      </c>
      <c r="E583" t="s">
        <v>34</v>
      </c>
      <c r="F583" t="str">
        <f>"0014219"</f>
        <v>0014219</v>
      </c>
      <c r="G583">
        <v>1</v>
      </c>
      <c r="H583" t="str">
        <f>"00000001"</f>
        <v>00000001</v>
      </c>
      <c r="I583" t="s">
        <v>35</v>
      </c>
      <c r="J583"/>
      <c r="K583">
        <v>31.36</v>
      </c>
      <c r="L583">
        <v>0.0</v>
      </c>
      <c r="M583"/>
      <c r="N583"/>
      <c r="O583">
        <v>5.64</v>
      </c>
      <c r="P583">
        <v>0.0</v>
      </c>
      <c r="Q583">
        <v>37.0</v>
      </c>
      <c r="R583"/>
      <c r="S583"/>
      <c r="T583"/>
      <c r="U583"/>
      <c r="V583"/>
      <c r="W583">
        <v>18</v>
      </c>
    </row>
    <row r="584" spans="1:23">
      <c r="A584"/>
      <c r="B584" t="s">
        <v>87</v>
      </c>
      <c r="C584" t="s">
        <v>87</v>
      </c>
      <c r="D584" t="s">
        <v>33</v>
      </c>
      <c r="E584" t="s">
        <v>34</v>
      </c>
      <c r="F584" t="str">
        <f>"0014220"</f>
        <v>0014220</v>
      </c>
      <c r="G584">
        <v>1</v>
      </c>
      <c r="H584" t="str">
        <f>"00000001"</f>
        <v>00000001</v>
      </c>
      <c r="I584" t="s">
        <v>35</v>
      </c>
      <c r="J584"/>
      <c r="K584">
        <v>8.47</v>
      </c>
      <c r="L584">
        <v>0.0</v>
      </c>
      <c r="M584"/>
      <c r="N584"/>
      <c r="O584">
        <v>1.53</v>
      </c>
      <c r="P584">
        <v>0.0</v>
      </c>
      <c r="Q584">
        <v>10.0</v>
      </c>
      <c r="R584"/>
      <c r="S584"/>
      <c r="T584"/>
      <c r="U584"/>
      <c r="V584"/>
      <c r="W584">
        <v>18</v>
      </c>
    </row>
    <row r="585" spans="1:23">
      <c r="A585"/>
      <c r="B585" t="s">
        <v>87</v>
      </c>
      <c r="C585" t="s">
        <v>87</v>
      </c>
      <c r="D585" t="s">
        <v>33</v>
      </c>
      <c r="E585" t="s">
        <v>34</v>
      </c>
      <c r="F585" t="str">
        <f>"0014221"</f>
        <v>0014221</v>
      </c>
      <c r="G585">
        <v>1</v>
      </c>
      <c r="H585" t="str">
        <f>"00000001"</f>
        <v>00000001</v>
      </c>
      <c r="I585" t="s">
        <v>35</v>
      </c>
      <c r="J585"/>
      <c r="K585">
        <v>23.73</v>
      </c>
      <c r="L585">
        <v>0.0</v>
      </c>
      <c r="M585"/>
      <c r="N585"/>
      <c r="O585">
        <v>4.27</v>
      </c>
      <c r="P585">
        <v>0.0</v>
      </c>
      <c r="Q585">
        <v>28.0</v>
      </c>
      <c r="R585"/>
      <c r="S585"/>
      <c r="T585"/>
      <c r="U585"/>
      <c r="V585"/>
      <c r="W585">
        <v>18</v>
      </c>
    </row>
    <row r="586" spans="1:23">
      <c r="A586"/>
      <c r="B586" t="s">
        <v>87</v>
      </c>
      <c r="C586" t="s">
        <v>87</v>
      </c>
      <c r="D586" t="s">
        <v>33</v>
      </c>
      <c r="E586" t="s">
        <v>34</v>
      </c>
      <c r="F586" t="str">
        <f>"0014222"</f>
        <v>0014222</v>
      </c>
      <c r="G586">
        <v>1</v>
      </c>
      <c r="H586" t="str">
        <f>"00000001"</f>
        <v>00000001</v>
      </c>
      <c r="I586" t="s">
        <v>35</v>
      </c>
      <c r="J586"/>
      <c r="K586">
        <v>17.8</v>
      </c>
      <c r="L586">
        <v>0.0</v>
      </c>
      <c r="M586"/>
      <c r="N586"/>
      <c r="O586">
        <v>3.2</v>
      </c>
      <c r="P586">
        <v>0.0</v>
      </c>
      <c r="Q586">
        <v>21.0</v>
      </c>
      <c r="R586"/>
      <c r="S586"/>
      <c r="T586"/>
      <c r="U586"/>
      <c r="V586"/>
      <c r="W586">
        <v>18</v>
      </c>
    </row>
    <row r="587" spans="1:23">
      <c r="A587"/>
      <c r="B587" t="s">
        <v>87</v>
      </c>
      <c r="C587" t="s">
        <v>87</v>
      </c>
      <c r="D587" t="s">
        <v>33</v>
      </c>
      <c r="E587" t="s">
        <v>34</v>
      </c>
      <c r="F587" t="str">
        <f>"0014223"</f>
        <v>0014223</v>
      </c>
      <c r="G587">
        <v>1</v>
      </c>
      <c r="H587" t="str">
        <f>"00000001"</f>
        <v>00000001</v>
      </c>
      <c r="I587" t="s">
        <v>35</v>
      </c>
      <c r="J587"/>
      <c r="K587">
        <v>10.17</v>
      </c>
      <c r="L587">
        <v>0.0</v>
      </c>
      <c r="M587"/>
      <c r="N587"/>
      <c r="O587">
        <v>1.83</v>
      </c>
      <c r="P587">
        <v>0.0</v>
      </c>
      <c r="Q587">
        <v>12.0</v>
      </c>
      <c r="R587"/>
      <c r="S587"/>
      <c r="T587"/>
      <c r="U587"/>
      <c r="V587"/>
      <c r="W587">
        <v>18</v>
      </c>
    </row>
    <row r="588" spans="1:23">
      <c r="A588"/>
      <c r="B588" t="s">
        <v>87</v>
      </c>
      <c r="C588" t="s">
        <v>87</v>
      </c>
      <c r="D588" t="s">
        <v>33</v>
      </c>
      <c r="E588" t="s">
        <v>34</v>
      </c>
      <c r="F588" t="str">
        <f>"0014224"</f>
        <v>0014224</v>
      </c>
      <c r="G588">
        <v>1</v>
      </c>
      <c r="H588" t="str">
        <f>"00000001"</f>
        <v>00000001</v>
      </c>
      <c r="I588" t="s">
        <v>35</v>
      </c>
      <c r="J588"/>
      <c r="K588">
        <v>5.08</v>
      </c>
      <c r="L588">
        <v>0.0</v>
      </c>
      <c r="M588"/>
      <c r="N588"/>
      <c r="O588">
        <v>0.92</v>
      </c>
      <c r="P588">
        <v>0.0</v>
      </c>
      <c r="Q588">
        <v>6.0</v>
      </c>
      <c r="R588"/>
      <c r="S588"/>
      <c r="T588"/>
      <c r="U588"/>
      <c r="V588"/>
      <c r="W588">
        <v>18</v>
      </c>
    </row>
    <row r="589" spans="1:23">
      <c r="A589"/>
      <c r="B589" t="s">
        <v>87</v>
      </c>
      <c r="C589" t="s">
        <v>87</v>
      </c>
      <c r="D589" t="s">
        <v>33</v>
      </c>
      <c r="E589" t="s">
        <v>34</v>
      </c>
      <c r="F589" t="str">
        <f>"0014225"</f>
        <v>0014225</v>
      </c>
      <c r="G589">
        <v>1</v>
      </c>
      <c r="H589" t="str">
        <f>"00000001"</f>
        <v>00000001</v>
      </c>
      <c r="I589" t="s">
        <v>35</v>
      </c>
      <c r="J589"/>
      <c r="K589">
        <v>10.17</v>
      </c>
      <c r="L589">
        <v>0.0</v>
      </c>
      <c r="M589"/>
      <c r="N589"/>
      <c r="O589">
        <v>1.83</v>
      </c>
      <c r="P589">
        <v>0.0</v>
      </c>
      <c r="Q589">
        <v>12.0</v>
      </c>
      <c r="R589"/>
      <c r="S589"/>
      <c r="T589"/>
      <c r="U589"/>
      <c r="V589"/>
      <c r="W589">
        <v>18</v>
      </c>
    </row>
    <row r="590" spans="1:23">
      <c r="A590"/>
      <c r="B590" t="s">
        <v>87</v>
      </c>
      <c r="C590" t="s">
        <v>87</v>
      </c>
      <c r="D590" t="s">
        <v>33</v>
      </c>
      <c r="E590" t="s">
        <v>34</v>
      </c>
      <c r="F590" t="str">
        <f>"0014226"</f>
        <v>0014226</v>
      </c>
      <c r="G590">
        <v>1</v>
      </c>
      <c r="H590" t="str">
        <f>"00000001"</f>
        <v>00000001</v>
      </c>
      <c r="I590" t="s">
        <v>35</v>
      </c>
      <c r="J590"/>
      <c r="K590">
        <v>13.56</v>
      </c>
      <c r="L590">
        <v>0.0</v>
      </c>
      <c r="M590"/>
      <c r="N590"/>
      <c r="O590">
        <v>2.44</v>
      </c>
      <c r="P590">
        <v>0.0</v>
      </c>
      <c r="Q590">
        <v>16.0</v>
      </c>
      <c r="R590"/>
      <c r="S590"/>
      <c r="T590"/>
      <c r="U590"/>
      <c r="V590"/>
      <c r="W590">
        <v>18</v>
      </c>
    </row>
    <row r="591" spans="1:23">
      <c r="A591"/>
      <c r="B591" t="s">
        <v>87</v>
      </c>
      <c r="C591" t="s">
        <v>87</v>
      </c>
      <c r="D591" t="s">
        <v>33</v>
      </c>
      <c r="E591" t="s">
        <v>34</v>
      </c>
      <c r="F591" t="str">
        <f>"0014227"</f>
        <v>0014227</v>
      </c>
      <c r="G591">
        <v>1</v>
      </c>
      <c r="H591" t="str">
        <f>"27576184"</f>
        <v>27576184</v>
      </c>
      <c r="I591" t="s">
        <v>89</v>
      </c>
      <c r="J591"/>
      <c r="K591">
        <v>5.17</v>
      </c>
      <c r="L591">
        <v>0.0</v>
      </c>
      <c r="M591"/>
      <c r="N591"/>
      <c r="O591">
        <v>0.93</v>
      </c>
      <c r="P591">
        <v>0.0</v>
      </c>
      <c r="Q591">
        <v>6.1</v>
      </c>
      <c r="R591"/>
      <c r="S591"/>
      <c r="T591"/>
      <c r="U591"/>
      <c r="V591"/>
      <c r="W591">
        <v>18</v>
      </c>
    </row>
    <row r="592" spans="1:23">
      <c r="A592"/>
      <c r="B592" t="s">
        <v>90</v>
      </c>
      <c r="C592" t="s">
        <v>90</v>
      </c>
      <c r="D592" t="s">
        <v>33</v>
      </c>
      <c r="E592" t="s">
        <v>34</v>
      </c>
      <c r="F592" t="str">
        <f>"0014228"</f>
        <v>0014228</v>
      </c>
      <c r="G592">
        <v>1</v>
      </c>
      <c r="H592" t="str">
        <f>"00000001"</f>
        <v>00000001</v>
      </c>
      <c r="I592" t="s">
        <v>35</v>
      </c>
      <c r="J592"/>
      <c r="K592">
        <v>8.47</v>
      </c>
      <c r="L592">
        <v>0.0</v>
      </c>
      <c r="M592"/>
      <c r="N592"/>
      <c r="O592">
        <v>1.53</v>
      </c>
      <c r="P592">
        <v>0.0</v>
      </c>
      <c r="Q592">
        <v>10.0</v>
      </c>
      <c r="R592"/>
      <c r="S592"/>
      <c r="T592"/>
      <c r="U592"/>
      <c r="V592"/>
      <c r="W592">
        <v>18</v>
      </c>
    </row>
    <row r="593" spans="1:23">
      <c r="A593"/>
      <c r="B593" t="s">
        <v>90</v>
      </c>
      <c r="C593" t="s">
        <v>90</v>
      </c>
      <c r="D593" t="s">
        <v>33</v>
      </c>
      <c r="E593" t="s">
        <v>34</v>
      </c>
      <c r="F593" t="str">
        <f>"0014229"</f>
        <v>0014229</v>
      </c>
      <c r="G593">
        <v>1</v>
      </c>
      <c r="H593" t="str">
        <f>"00000001"</f>
        <v>00000001</v>
      </c>
      <c r="I593" t="s">
        <v>35</v>
      </c>
      <c r="J593"/>
      <c r="K593">
        <v>12.29</v>
      </c>
      <c r="L593">
        <v>0.0</v>
      </c>
      <c r="M593"/>
      <c r="N593"/>
      <c r="O593">
        <v>2.21</v>
      </c>
      <c r="P593">
        <v>0.0</v>
      </c>
      <c r="Q593">
        <v>14.5</v>
      </c>
      <c r="R593"/>
      <c r="S593"/>
      <c r="T593"/>
      <c r="U593"/>
      <c r="V593"/>
      <c r="W593">
        <v>18</v>
      </c>
    </row>
    <row r="594" spans="1:23">
      <c r="A594"/>
      <c r="B594" t="s">
        <v>90</v>
      </c>
      <c r="C594" t="s">
        <v>90</v>
      </c>
      <c r="D594" t="s">
        <v>33</v>
      </c>
      <c r="E594" t="s">
        <v>34</v>
      </c>
      <c r="F594" t="str">
        <f>"0014230"</f>
        <v>0014230</v>
      </c>
      <c r="G594">
        <v>1</v>
      </c>
      <c r="H594" t="str">
        <f>"00000001"</f>
        <v>00000001</v>
      </c>
      <c r="I594" t="s">
        <v>35</v>
      </c>
      <c r="J594"/>
      <c r="K594">
        <v>10.17</v>
      </c>
      <c r="L594">
        <v>0.0</v>
      </c>
      <c r="M594"/>
      <c r="N594"/>
      <c r="O594">
        <v>1.83</v>
      </c>
      <c r="P594">
        <v>0.0</v>
      </c>
      <c r="Q594">
        <v>12.0</v>
      </c>
      <c r="R594"/>
      <c r="S594"/>
      <c r="T594"/>
      <c r="U594"/>
      <c r="V594"/>
      <c r="W594">
        <v>18</v>
      </c>
    </row>
    <row r="595" spans="1:23">
      <c r="A595"/>
      <c r="B595" t="s">
        <v>90</v>
      </c>
      <c r="C595" t="s">
        <v>90</v>
      </c>
      <c r="D595" t="s">
        <v>33</v>
      </c>
      <c r="E595" t="s">
        <v>34</v>
      </c>
      <c r="F595" t="str">
        <f>"0014231"</f>
        <v>0014231</v>
      </c>
      <c r="G595">
        <v>1</v>
      </c>
      <c r="H595" t="str">
        <f>"73828054"</f>
        <v>73828054</v>
      </c>
      <c r="I595" t="s">
        <v>66</v>
      </c>
      <c r="J595"/>
      <c r="K595">
        <v>56.78</v>
      </c>
      <c r="L595">
        <v>0.0</v>
      </c>
      <c r="M595"/>
      <c r="N595"/>
      <c r="O595">
        <v>10.22</v>
      </c>
      <c r="P595">
        <v>0.0</v>
      </c>
      <c r="Q595">
        <v>67.0</v>
      </c>
      <c r="R595"/>
      <c r="S595"/>
      <c r="T595"/>
      <c r="U595"/>
      <c r="V595"/>
      <c r="W595">
        <v>18</v>
      </c>
    </row>
    <row r="596" spans="1:23">
      <c r="A596"/>
      <c r="B596" t="s">
        <v>90</v>
      </c>
      <c r="C596" t="s">
        <v>90</v>
      </c>
      <c r="D596" t="s">
        <v>33</v>
      </c>
      <c r="E596" t="s">
        <v>34</v>
      </c>
      <c r="F596" t="str">
        <f>"0014232"</f>
        <v>0014232</v>
      </c>
      <c r="G596">
        <v>1</v>
      </c>
      <c r="H596" t="str">
        <f>"00000001"</f>
        <v>00000001</v>
      </c>
      <c r="I596" t="s">
        <v>35</v>
      </c>
      <c r="J596"/>
      <c r="K596">
        <v>3.39</v>
      </c>
      <c r="L596">
        <v>0.0</v>
      </c>
      <c r="M596"/>
      <c r="N596"/>
      <c r="O596">
        <v>0.61</v>
      </c>
      <c r="P596">
        <v>0.0</v>
      </c>
      <c r="Q596">
        <v>4.0</v>
      </c>
      <c r="R596"/>
      <c r="S596"/>
      <c r="T596"/>
      <c r="U596"/>
      <c r="V596"/>
      <c r="W596">
        <v>18</v>
      </c>
    </row>
    <row r="597" spans="1:23">
      <c r="A597"/>
      <c r="B597" t="s">
        <v>90</v>
      </c>
      <c r="C597" t="s">
        <v>90</v>
      </c>
      <c r="D597" t="s">
        <v>33</v>
      </c>
      <c r="E597" t="s">
        <v>34</v>
      </c>
      <c r="F597" t="str">
        <f>"0014233"</f>
        <v>0014233</v>
      </c>
      <c r="G597">
        <v>1</v>
      </c>
      <c r="H597" t="str">
        <f>"00000390"</f>
        <v>00000390</v>
      </c>
      <c r="I597" t="s">
        <v>37</v>
      </c>
      <c r="J597"/>
      <c r="K597">
        <v>134.75</v>
      </c>
      <c r="L597">
        <v>0.0</v>
      </c>
      <c r="M597"/>
      <c r="N597"/>
      <c r="O597">
        <v>24.25</v>
      </c>
      <c r="P597">
        <v>0.0</v>
      </c>
      <c r="Q597">
        <v>159.0</v>
      </c>
      <c r="R597"/>
      <c r="S597"/>
      <c r="T597"/>
      <c r="U597"/>
      <c r="V597"/>
      <c r="W597">
        <v>18</v>
      </c>
    </row>
    <row r="598" spans="1:23">
      <c r="A598"/>
      <c r="B598" t="s">
        <v>90</v>
      </c>
      <c r="C598" t="s">
        <v>90</v>
      </c>
      <c r="D598" t="s">
        <v>33</v>
      </c>
      <c r="E598" t="s">
        <v>34</v>
      </c>
      <c r="F598" t="str">
        <f>"0014234"</f>
        <v>0014234</v>
      </c>
      <c r="G598">
        <v>6</v>
      </c>
      <c r="H598" t="str">
        <f>"20148260843"</f>
        <v>20148260843</v>
      </c>
      <c r="I598" t="s">
        <v>91</v>
      </c>
      <c r="J598"/>
      <c r="K598">
        <v>10.17</v>
      </c>
      <c r="L598">
        <v>0.0</v>
      </c>
      <c r="M598"/>
      <c r="N598"/>
      <c r="O598">
        <v>1.83</v>
      </c>
      <c r="P598">
        <v>0.0</v>
      </c>
      <c r="Q598">
        <v>12.0</v>
      </c>
      <c r="R598"/>
      <c r="S598"/>
      <c r="T598"/>
      <c r="U598"/>
      <c r="V598"/>
      <c r="W598">
        <v>18</v>
      </c>
    </row>
    <row r="599" spans="1:23">
      <c r="A599"/>
      <c r="B599" t="s">
        <v>90</v>
      </c>
      <c r="C599" t="s">
        <v>90</v>
      </c>
      <c r="D599" t="s">
        <v>33</v>
      </c>
      <c r="E599" t="s">
        <v>34</v>
      </c>
      <c r="F599" t="str">
        <f>"0014235"</f>
        <v>0014235</v>
      </c>
      <c r="G599">
        <v>1</v>
      </c>
      <c r="H599" t="str">
        <f>"00000001"</f>
        <v>00000001</v>
      </c>
      <c r="I599" t="s">
        <v>35</v>
      </c>
      <c r="J599"/>
      <c r="K599">
        <v>14.83</v>
      </c>
      <c r="L599">
        <v>0.0</v>
      </c>
      <c r="M599"/>
      <c r="N599"/>
      <c r="O599">
        <v>2.67</v>
      </c>
      <c r="P599">
        <v>0.0</v>
      </c>
      <c r="Q599">
        <v>17.5</v>
      </c>
      <c r="R599"/>
      <c r="S599"/>
      <c r="T599"/>
      <c r="U599"/>
      <c r="V599"/>
      <c r="W599">
        <v>18</v>
      </c>
    </row>
    <row r="600" spans="1:23">
      <c r="A600"/>
      <c r="B600" t="s">
        <v>90</v>
      </c>
      <c r="C600" t="s">
        <v>90</v>
      </c>
      <c r="D600" t="s">
        <v>33</v>
      </c>
      <c r="E600" t="s">
        <v>34</v>
      </c>
      <c r="F600" t="str">
        <f>"0014236"</f>
        <v>0014236</v>
      </c>
      <c r="G600">
        <v>1</v>
      </c>
      <c r="H600" t="str">
        <f>"00000001"</f>
        <v>00000001</v>
      </c>
      <c r="I600" t="s">
        <v>35</v>
      </c>
      <c r="J600"/>
      <c r="K600">
        <v>10.17</v>
      </c>
      <c r="L600">
        <v>0.0</v>
      </c>
      <c r="M600"/>
      <c r="N600"/>
      <c r="O600">
        <v>1.83</v>
      </c>
      <c r="P600">
        <v>0.0</v>
      </c>
      <c r="Q600">
        <v>12.0</v>
      </c>
      <c r="R600"/>
      <c r="S600"/>
      <c r="T600"/>
      <c r="U600"/>
      <c r="V600"/>
      <c r="W600">
        <v>18</v>
      </c>
    </row>
    <row r="601" spans="1:23">
      <c r="A601"/>
      <c r="B601" t="s">
        <v>90</v>
      </c>
      <c r="C601" t="s">
        <v>90</v>
      </c>
      <c r="D601" t="s">
        <v>33</v>
      </c>
      <c r="E601" t="s">
        <v>34</v>
      </c>
      <c r="F601" t="str">
        <f>"0014237"</f>
        <v>0014237</v>
      </c>
      <c r="G601">
        <v>1</v>
      </c>
      <c r="H601" t="str">
        <f>"00000001"</f>
        <v>00000001</v>
      </c>
      <c r="I601" t="s">
        <v>35</v>
      </c>
      <c r="J601"/>
      <c r="K601">
        <v>10.17</v>
      </c>
      <c r="L601">
        <v>0.0</v>
      </c>
      <c r="M601"/>
      <c r="N601"/>
      <c r="O601">
        <v>1.83</v>
      </c>
      <c r="P601">
        <v>0.0</v>
      </c>
      <c r="Q601">
        <v>12.0</v>
      </c>
      <c r="R601"/>
      <c r="S601"/>
      <c r="T601"/>
      <c r="U601"/>
      <c r="V601"/>
      <c r="W601">
        <v>18</v>
      </c>
    </row>
    <row r="602" spans="1:23">
      <c r="A602"/>
      <c r="B602" t="s">
        <v>90</v>
      </c>
      <c r="C602" t="s">
        <v>90</v>
      </c>
      <c r="D602" t="s">
        <v>33</v>
      </c>
      <c r="E602" t="s">
        <v>34</v>
      </c>
      <c r="F602" t="str">
        <f>"0014238"</f>
        <v>0014238</v>
      </c>
      <c r="G602">
        <v>6</v>
      </c>
      <c r="H602" t="str">
        <f>"20608473174"</f>
        <v>20608473174</v>
      </c>
      <c r="I602" t="s">
        <v>82</v>
      </c>
      <c r="J602"/>
      <c r="K602">
        <v>14.41</v>
      </c>
      <c r="L602">
        <v>0.0</v>
      </c>
      <c r="M602"/>
      <c r="N602"/>
      <c r="O602">
        <v>2.59</v>
      </c>
      <c r="P602">
        <v>0.0</v>
      </c>
      <c r="Q602">
        <v>17.0</v>
      </c>
      <c r="R602"/>
      <c r="S602"/>
      <c r="T602"/>
      <c r="U602"/>
      <c r="V602"/>
      <c r="W602">
        <v>18</v>
      </c>
    </row>
    <row r="603" spans="1:23">
      <c r="A603"/>
      <c r="B603" t="s">
        <v>90</v>
      </c>
      <c r="C603" t="s">
        <v>90</v>
      </c>
      <c r="D603" t="s">
        <v>33</v>
      </c>
      <c r="E603" t="s">
        <v>34</v>
      </c>
      <c r="F603" t="str">
        <f>"0014239"</f>
        <v>0014239</v>
      </c>
      <c r="G603">
        <v>1</v>
      </c>
      <c r="H603" t="str">
        <f>"00000001"</f>
        <v>00000001</v>
      </c>
      <c r="I603" t="s">
        <v>35</v>
      </c>
      <c r="J603"/>
      <c r="K603">
        <v>14.83</v>
      </c>
      <c r="L603">
        <v>0.0</v>
      </c>
      <c r="M603"/>
      <c r="N603"/>
      <c r="O603">
        <v>2.67</v>
      </c>
      <c r="P603">
        <v>0.0</v>
      </c>
      <c r="Q603">
        <v>17.5</v>
      </c>
      <c r="R603"/>
      <c r="S603"/>
      <c r="T603"/>
      <c r="U603"/>
      <c r="V603"/>
      <c r="W603">
        <v>18</v>
      </c>
    </row>
    <row r="604" spans="1:23">
      <c r="A604"/>
      <c r="B604" t="s">
        <v>90</v>
      </c>
      <c r="C604" t="s">
        <v>90</v>
      </c>
      <c r="D604" t="s">
        <v>33</v>
      </c>
      <c r="E604" t="s">
        <v>34</v>
      </c>
      <c r="F604" t="str">
        <f>"0014240"</f>
        <v>0014240</v>
      </c>
      <c r="G604">
        <v>1</v>
      </c>
      <c r="H604" t="str">
        <f>"00000001"</f>
        <v>00000001</v>
      </c>
      <c r="I604" t="s">
        <v>35</v>
      </c>
      <c r="J604"/>
      <c r="K604">
        <v>3.39</v>
      </c>
      <c r="L604">
        <v>0.0</v>
      </c>
      <c r="M604"/>
      <c r="N604"/>
      <c r="O604">
        <v>0.61</v>
      </c>
      <c r="P604">
        <v>0.0</v>
      </c>
      <c r="Q604">
        <v>4.0</v>
      </c>
      <c r="R604"/>
      <c r="S604"/>
      <c r="T604"/>
      <c r="U604"/>
      <c r="V604"/>
      <c r="W604">
        <v>18</v>
      </c>
    </row>
    <row r="605" spans="1:23">
      <c r="A605"/>
      <c r="B605" t="s">
        <v>90</v>
      </c>
      <c r="C605" t="s">
        <v>90</v>
      </c>
      <c r="D605" t="s">
        <v>33</v>
      </c>
      <c r="E605" t="s">
        <v>34</v>
      </c>
      <c r="F605" t="str">
        <f>"0014241"</f>
        <v>0014241</v>
      </c>
      <c r="G605">
        <v>1</v>
      </c>
      <c r="H605" t="str">
        <f>"00000001"</f>
        <v>00000001</v>
      </c>
      <c r="I605" t="s">
        <v>35</v>
      </c>
      <c r="J605"/>
      <c r="K605">
        <v>7.2</v>
      </c>
      <c r="L605">
        <v>0.0</v>
      </c>
      <c r="M605"/>
      <c r="N605"/>
      <c r="O605">
        <v>1.3</v>
      </c>
      <c r="P605">
        <v>0.0</v>
      </c>
      <c r="Q605">
        <v>8.5</v>
      </c>
      <c r="R605"/>
      <c r="S605"/>
      <c r="T605"/>
      <c r="U605"/>
      <c r="V605"/>
      <c r="W605">
        <v>18</v>
      </c>
    </row>
    <row r="606" spans="1:23">
      <c r="A606"/>
      <c r="B606" t="s">
        <v>90</v>
      </c>
      <c r="C606" t="s">
        <v>90</v>
      </c>
      <c r="D606" t="s">
        <v>33</v>
      </c>
      <c r="E606" t="s">
        <v>34</v>
      </c>
      <c r="F606" t="str">
        <f>"0014242"</f>
        <v>0014242</v>
      </c>
      <c r="G606">
        <v>1</v>
      </c>
      <c r="H606" t="str">
        <f>"00000001"</f>
        <v>00000001</v>
      </c>
      <c r="I606" t="s">
        <v>35</v>
      </c>
      <c r="J606"/>
      <c r="K606">
        <v>17.8</v>
      </c>
      <c r="L606">
        <v>0.0</v>
      </c>
      <c r="M606"/>
      <c r="N606"/>
      <c r="O606">
        <v>3.2</v>
      </c>
      <c r="P606">
        <v>0.0</v>
      </c>
      <c r="Q606">
        <v>21.0</v>
      </c>
      <c r="R606"/>
      <c r="S606"/>
      <c r="T606"/>
      <c r="U606"/>
      <c r="V606"/>
      <c r="W606">
        <v>18</v>
      </c>
    </row>
    <row r="607" spans="1:23">
      <c r="A607"/>
      <c r="B607" t="s">
        <v>90</v>
      </c>
      <c r="C607" t="s">
        <v>90</v>
      </c>
      <c r="D607" t="s">
        <v>33</v>
      </c>
      <c r="E607" t="s">
        <v>34</v>
      </c>
      <c r="F607" t="str">
        <f>"0014243"</f>
        <v>0014243</v>
      </c>
      <c r="G607">
        <v>1</v>
      </c>
      <c r="H607" t="str">
        <f>"00000001"</f>
        <v>00000001</v>
      </c>
      <c r="I607" t="s">
        <v>35</v>
      </c>
      <c r="J607"/>
      <c r="K607">
        <v>12.71</v>
      </c>
      <c r="L607">
        <v>0.0</v>
      </c>
      <c r="M607"/>
      <c r="N607"/>
      <c r="O607">
        <v>2.29</v>
      </c>
      <c r="P607">
        <v>0.0</v>
      </c>
      <c r="Q607">
        <v>15.0</v>
      </c>
      <c r="R607"/>
      <c r="S607"/>
      <c r="T607"/>
      <c r="U607"/>
      <c r="V607"/>
      <c r="W607">
        <v>18</v>
      </c>
    </row>
    <row r="608" spans="1:23">
      <c r="A608"/>
      <c r="B608" t="s">
        <v>90</v>
      </c>
      <c r="C608" t="s">
        <v>90</v>
      </c>
      <c r="D608" t="s">
        <v>33</v>
      </c>
      <c r="E608" t="s">
        <v>34</v>
      </c>
      <c r="F608" t="str">
        <f>"0014244"</f>
        <v>0014244</v>
      </c>
      <c r="G608">
        <v>1</v>
      </c>
      <c r="H608" t="str">
        <f>"00000001"</f>
        <v>00000001</v>
      </c>
      <c r="I608" t="s">
        <v>35</v>
      </c>
      <c r="J608"/>
      <c r="K608">
        <v>5.08</v>
      </c>
      <c r="L608">
        <v>0.0</v>
      </c>
      <c r="M608"/>
      <c r="N608"/>
      <c r="O608">
        <v>0.92</v>
      </c>
      <c r="P608">
        <v>0.0</v>
      </c>
      <c r="Q608">
        <v>6.0</v>
      </c>
      <c r="R608"/>
      <c r="S608"/>
      <c r="T608"/>
      <c r="U608"/>
      <c r="V608"/>
      <c r="W608">
        <v>18</v>
      </c>
    </row>
    <row r="609" spans="1:23">
      <c r="A609"/>
      <c r="B609" t="s">
        <v>90</v>
      </c>
      <c r="C609" t="s">
        <v>90</v>
      </c>
      <c r="D609" t="s">
        <v>33</v>
      </c>
      <c r="E609" t="s">
        <v>34</v>
      </c>
      <c r="F609" t="str">
        <f>"0014245"</f>
        <v>0014245</v>
      </c>
      <c r="G609">
        <v>1</v>
      </c>
      <c r="H609" t="str">
        <f>"00000001"</f>
        <v>00000001</v>
      </c>
      <c r="I609" t="s">
        <v>35</v>
      </c>
      <c r="J609"/>
      <c r="K609">
        <v>11.44</v>
      </c>
      <c r="L609">
        <v>0.0</v>
      </c>
      <c r="M609"/>
      <c r="N609"/>
      <c r="O609">
        <v>2.06</v>
      </c>
      <c r="P609">
        <v>0.0</v>
      </c>
      <c r="Q609">
        <v>13.5</v>
      </c>
      <c r="R609"/>
      <c r="S609"/>
      <c r="T609"/>
      <c r="U609"/>
      <c r="V609"/>
      <c r="W609">
        <v>18</v>
      </c>
    </row>
    <row r="610" spans="1:23">
      <c r="A610"/>
      <c r="B610" t="s">
        <v>90</v>
      </c>
      <c r="C610" t="s">
        <v>90</v>
      </c>
      <c r="D610" t="s">
        <v>33</v>
      </c>
      <c r="E610" t="s">
        <v>34</v>
      </c>
      <c r="F610" t="str">
        <f>"0014246"</f>
        <v>0014246</v>
      </c>
      <c r="G610">
        <v>1</v>
      </c>
      <c r="H610" t="str">
        <f>"00000001"</f>
        <v>00000001</v>
      </c>
      <c r="I610" t="s">
        <v>35</v>
      </c>
      <c r="J610"/>
      <c r="K610">
        <v>11.02</v>
      </c>
      <c r="L610">
        <v>0.0</v>
      </c>
      <c r="M610"/>
      <c r="N610"/>
      <c r="O610">
        <v>1.98</v>
      </c>
      <c r="P610">
        <v>0.0</v>
      </c>
      <c r="Q610">
        <v>13.0</v>
      </c>
      <c r="R610"/>
      <c r="S610"/>
      <c r="T610"/>
      <c r="U610"/>
      <c r="V610"/>
      <c r="W610">
        <v>18</v>
      </c>
    </row>
    <row r="611" spans="1:23">
      <c r="A611"/>
      <c r="B611" t="s">
        <v>90</v>
      </c>
      <c r="C611" t="s">
        <v>90</v>
      </c>
      <c r="D611" t="s">
        <v>33</v>
      </c>
      <c r="E611" t="s">
        <v>34</v>
      </c>
      <c r="F611" t="str">
        <f>"0014247"</f>
        <v>0014247</v>
      </c>
      <c r="G611">
        <v>1</v>
      </c>
      <c r="H611" t="str">
        <f>"00000001"</f>
        <v>00000001</v>
      </c>
      <c r="I611" t="s">
        <v>35</v>
      </c>
      <c r="J611"/>
      <c r="K611">
        <v>16.95</v>
      </c>
      <c r="L611">
        <v>0.0</v>
      </c>
      <c r="M611"/>
      <c r="N611"/>
      <c r="O611">
        <v>3.05</v>
      </c>
      <c r="P611">
        <v>0.0</v>
      </c>
      <c r="Q611">
        <v>20.0</v>
      </c>
      <c r="R611"/>
      <c r="S611"/>
      <c r="T611"/>
      <c r="U611"/>
      <c r="V611"/>
      <c r="W611">
        <v>18</v>
      </c>
    </row>
    <row r="612" spans="1:23">
      <c r="A612"/>
      <c r="B612" t="s">
        <v>90</v>
      </c>
      <c r="C612" t="s">
        <v>90</v>
      </c>
      <c r="D612" t="s">
        <v>33</v>
      </c>
      <c r="E612" t="s">
        <v>34</v>
      </c>
      <c r="F612" t="str">
        <f>"0014248"</f>
        <v>0014248</v>
      </c>
      <c r="G612">
        <v>1</v>
      </c>
      <c r="H612" t="str">
        <f>"00000001"</f>
        <v>00000001</v>
      </c>
      <c r="I612" t="s">
        <v>35</v>
      </c>
      <c r="J612"/>
      <c r="K612">
        <v>1.69</v>
      </c>
      <c r="L612">
        <v>0.0</v>
      </c>
      <c r="M612"/>
      <c r="N612"/>
      <c r="O612">
        <v>0.31</v>
      </c>
      <c r="P612">
        <v>0.0</v>
      </c>
      <c r="Q612">
        <v>2.0</v>
      </c>
      <c r="R612"/>
      <c r="S612"/>
      <c r="T612"/>
      <c r="U612"/>
      <c r="V612"/>
      <c r="W612">
        <v>18</v>
      </c>
    </row>
    <row r="613" spans="1:23">
      <c r="A613"/>
      <c r="B613" t="s">
        <v>90</v>
      </c>
      <c r="C613" t="s">
        <v>90</v>
      </c>
      <c r="D613" t="s">
        <v>33</v>
      </c>
      <c r="E613" t="s">
        <v>34</v>
      </c>
      <c r="F613" t="str">
        <f>"0014249"</f>
        <v>0014249</v>
      </c>
      <c r="G613">
        <v>1</v>
      </c>
      <c r="H613" t="str">
        <f>"00000001"</f>
        <v>00000001</v>
      </c>
      <c r="I613" t="s">
        <v>35</v>
      </c>
      <c r="J613"/>
      <c r="K613">
        <v>6.78</v>
      </c>
      <c r="L613">
        <v>0.0</v>
      </c>
      <c r="M613"/>
      <c r="N613"/>
      <c r="O613">
        <v>1.22</v>
      </c>
      <c r="P613">
        <v>0.0</v>
      </c>
      <c r="Q613">
        <v>8.0</v>
      </c>
      <c r="R613"/>
      <c r="S613"/>
      <c r="T613"/>
      <c r="U613"/>
      <c r="V613"/>
      <c r="W613">
        <v>18</v>
      </c>
    </row>
    <row r="614" spans="1:23">
      <c r="A614"/>
      <c r="B614" t="s">
        <v>90</v>
      </c>
      <c r="C614" t="s">
        <v>90</v>
      </c>
      <c r="D614" t="s">
        <v>33</v>
      </c>
      <c r="E614" t="s">
        <v>34</v>
      </c>
      <c r="F614" t="str">
        <f>"0014250"</f>
        <v>0014250</v>
      </c>
      <c r="G614">
        <v>1</v>
      </c>
      <c r="H614" t="str">
        <f>"00000001"</f>
        <v>00000001</v>
      </c>
      <c r="I614" t="s">
        <v>35</v>
      </c>
      <c r="J614"/>
      <c r="K614">
        <v>4.24</v>
      </c>
      <c r="L614">
        <v>0.0</v>
      </c>
      <c r="M614"/>
      <c r="N614"/>
      <c r="O614">
        <v>0.76</v>
      </c>
      <c r="P614">
        <v>0.0</v>
      </c>
      <c r="Q614">
        <v>5.0</v>
      </c>
      <c r="R614"/>
      <c r="S614"/>
      <c r="T614"/>
      <c r="U614"/>
      <c r="V614"/>
      <c r="W614">
        <v>18</v>
      </c>
    </row>
    <row r="615" spans="1:23">
      <c r="A615"/>
      <c r="B615" t="s">
        <v>90</v>
      </c>
      <c r="C615" t="s">
        <v>90</v>
      </c>
      <c r="D615" t="s">
        <v>33</v>
      </c>
      <c r="E615" t="s">
        <v>34</v>
      </c>
      <c r="F615" t="str">
        <f>"0014251"</f>
        <v>0014251</v>
      </c>
      <c r="G615">
        <v>1</v>
      </c>
      <c r="H615" t="str">
        <f>"00000001"</f>
        <v>00000001</v>
      </c>
      <c r="I615" t="s">
        <v>35</v>
      </c>
      <c r="J615"/>
      <c r="K615">
        <v>7.63</v>
      </c>
      <c r="L615">
        <v>0.0</v>
      </c>
      <c r="M615"/>
      <c r="N615"/>
      <c r="O615">
        <v>1.37</v>
      </c>
      <c r="P615">
        <v>0.0</v>
      </c>
      <c r="Q615">
        <v>9.0</v>
      </c>
      <c r="R615"/>
      <c r="S615"/>
      <c r="T615"/>
      <c r="U615"/>
      <c r="V615"/>
      <c r="W615">
        <v>18</v>
      </c>
    </row>
    <row r="616" spans="1:23">
      <c r="A616"/>
      <c r="B616" t="s">
        <v>90</v>
      </c>
      <c r="C616" t="s">
        <v>90</v>
      </c>
      <c r="D616" t="s">
        <v>33</v>
      </c>
      <c r="E616" t="s">
        <v>34</v>
      </c>
      <c r="F616" t="str">
        <f>"0014252"</f>
        <v>0014252</v>
      </c>
      <c r="G616">
        <v>1</v>
      </c>
      <c r="H616" t="str">
        <f>"44126271"</f>
        <v>44126271</v>
      </c>
      <c r="I616" t="s">
        <v>92</v>
      </c>
      <c r="J616"/>
      <c r="K616">
        <v>6.78</v>
      </c>
      <c r="L616">
        <v>0.0</v>
      </c>
      <c r="M616"/>
      <c r="N616"/>
      <c r="O616">
        <v>1.22</v>
      </c>
      <c r="P616">
        <v>0.0</v>
      </c>
      <c r="Q616">
        <v>8.0</v>
      </c>
      <c r="R616"/>
      <c r="S616"/>
      <c r="T616"/>
      <c r="U616"/>
      <c r="V616"/>
      <c r="W616">
        <v>18</v>
      </c>
    </row>
    <row r="617" spans="1:23">
      <c r="A617"/>
      <c r="B617" t="s">
        <v>90</v>
      </c>
      <c r="C617" t="s">
        <v>90</v>
      </c>
      <c r="D617" t="s">
        <v>33</v>
      </c>
      <c r="E617" t="s">
        <v>34</v>
      </c>
      <c r="F617" t="str">
        <f>"0014253"</f>
        <v>0014253</v>
      </c>
      <c r="G617">
        <v>1</v>
      </c>
      <c r="H617" t="str">
        <f>"00000001"</f>
        <v>00000001</v>
      </c>
      <c r="I617" t="s">
        <v>35</v>
      </c>
      <c r="J617"/>
      <c r="K617">
        <v>6.78</v>
      </c>
      <c r="L617">
        <v>0.0</v>
      </c>
      <c r="M617"/>
      <c r="N617"/>
      <c r="O617">
        <v>1.22</v>
      </c>
      <c r="P617">
        <v>0.0</v>
      </c>
      <c r="Q617">
        <v>8.0</v>
      </c>
      <c r="R617"/>
      <c r="S617"/>
      <c r="T617"/>
      <c r="U617"/>
      <c r="V617"/>
      <c r="W617">
        <v>18</v>
      </c>
    </row>
    <row r="618" spans="1:23">
      <c r="A618"/>
      <c r="B618" t="s">
        <v>90</v>
      </c>
      <c r="C618" t="s">
        <v>90</v>
      </c>
      <c r="D618" t="s">
        <v>40</v>
      </c>
      <c r="E618" t="s">
        <v>41</v>
      </c>
      <c r="F618" t="str">
        <f>"0001278"</f>
        <v>0001278</v>
      </c>
      <c r="G618">
        <v>6</v>
      </c>
      <c r="H618" t="str">
        <f>"20613539116"</f>
        <v>20613539116</v>
      </c>
      <c r="I618" t="s">
        <v>54</v>
      </c>
      <c r="J618"/>
      <c r="K618">
        <v>6.78</v>
      </c>
      <c r="L618">
        <v>0.0</v>
      </c>
      <c r="M618"/>
      <c r="N618"/>
      <c r="O618">
        <v>1.22</v>
      </c>
      <c r="P618">
        <v>0.0</v>
      </c>
      <c r="Q618">
        <v>8.0</v>
      </c>
      <c r="R618"/>
      <c r="S618"/>
      <c r="T618"/>
      <c r="U618"/>
      <c r="V618"/>
      <c r="W618">
        <v>18</v>
      </c>
    </row>
    <row r="619" spans="1:23">
      <c r="A619"/>
      <c r="B619" t="s">
        <v>90</v>
      </c>
      <c r="C619" t="s">
        <v>90</v>
      </c>
      <c r="D619" t="s">
        <v>33</v>
      </c>
      <c r="E619" t="s">
        <v>34</v>
      </c>
      <c r="F619" t="str">
        <f>"0014254"</f>
        <v>0014254</v>
      </c>
      <c r="G619">
        <v>1</v>
      </c>
      <c r="H619" t="str">
        <f>"00000001"</f>
        <v>00000001</v>
      </c>
      <c r="I619" t="s">
        <v>35</v>
      </c>
      <c r="J619"/>
      <c r="K619">
        <v>18.64</v>
      </c>
      <c r="L619">
        <v>0.0</v>
      </c>
      <c r="M619"/>
      <c r="N619"/>
      <c r="O619">
        <v>3.36</v>
      </c>
      <c r="P619">
        <v>0.0</v>
      </c>
      <c r="Q619">
        <v>22.0</v>
      </c>
      <c r="R619"/>
      <c r="S619"/>
      <c r="T619"/>
      <c r="U619"/>
      <c r="V619"/>
      <c r="W619">
        <v>18</v>
      </c>
    </row>
    <row r="620" spans="1:23">
      <c r="A620"/>
      <c r="B620" t="s">
        <v>90</v>
      </c>
      <c r="C620" t="s">
        <v>90</v>
      </c>
      <c r="D620" t="s">
        <v>33</v>
      </c>
      <c r="E620" t="s">
        <v>34</v>
      </c>
      <c r="F620" t="str">
        <f>"0014255"</f>
        <v>0014255</v>
      </c>
      <c r="G620">
        <v>1</v>
      </c>
      <c r="H620" t="str">
        <f>"00000001"</f>
        <v>00000001</v>
      </c>
      <c r="I620" t="s">
        <v>35</v>
      </c>
      <c r="J620"/>
      <c r="K620">
        <v>22.03</v>
      </c>
      <c r="L620">
        <v>0.0</v>
      </c>
      <c r="M620"/>
      <c r="N620"/>
      <c r="O620">
        <v>3.97</v>
      </c>
      <c r="P620">
        <v>0.0</v>
      </c>
      <c r="Q620">
        <v>26.0</v>
      </c>
      <c r="R620"/>
      <c r="S620"/>
      <c r="T620"/>
      <c r="U620"/>
      <c r="V620"/>
      <c r="W620">
        <v>18</v>
      </c>
    </row>
    <row r="621" spans="1:23">
      <c r="A621"/>
      <c r="B621" t="s">
        <v>90</v>
      </c>
      <c r="C621" t="s">
        <v>90</v>
      </c>
      <c r="D621" t="s">
        <v>33</v>
      </c>
      <c r="E621" t="s">
        <v>34</v>
      </c>
      <c r="F621" t="str">
        <f>"0014256"</f>
        <v>0014256</v>
      </c>
      <c r="G621">
        <v>1</v>
      </c>
      <c r="H621" t="str">
        <f>"00000001"</f>
        <v>00000001</v>
      </c>
      <c r="I621" t="s">
        <v>35</v>
      </c>
      <c r="J621"/>
      <c r="K621">
        <v>12.71</v>
      </c>
      <c r="L621">
        <v>0.0</v>
      </c>
      <c r="M621"/>
      <c r="N621"/>
      <c r="O621">
        <v>2.29</v>
      </c>
      <c r="P621">
        <v>0.0</v>
      </c>
      <c r="Q621">
        <v>15.0</v>
      </c>
      <c r="R621"/>
      <c r="S621"/>
      <c r="T621"/>
      <c r="U621"/>
      <c r="V621"/>
      <c r="W621">
        <v>18</v>
      </c>
    </row>
    <row r="622" spans="1:23">
      <c r="A622"/>
      <c r="B622" t="s">
        <v>90</v>
      </c>
      <c r="C622" t="s">
        <v>90</v>
      </c>
      <c r="D622" t="s">
        <v>33</v>
      </c>
      <c r="E622" t="s">
        <v>34</v>
      </c>
      <c r="F622" t="str">
        <f>"0014257"</f>
        <v>0014257</v>
      </c>
      <c r="G622">
        <v>1</v>
      </c>
      <c r="H622" t="str">
        <f>"00000001"</f>
        <v>00000001</v>
      </c>
      <c r="I622" t="s">
        <v>35</v>
      </c>
      <c r="J622"/>
      <c r="K622">
        <v>23.73</v>
      </c>
      <c r="L622">
        <v>0.0</v>
      </c>
      <c r="M622"/>
      <c r="N622"/>
      <c r="O622">
        <v>4.27</v>
      </c>
      <c r="P622">
        <v>0.0</v>
      </c>
      <c r="Q622">
        <v>28.0</v>
      </c>
      <c r="R622"/>
      <c r="S622"/>
      <c r="T622"/>
      <c r="U622"/>
      <c r="V622"/>
      <c r="W622">
        <v>18</v>
      </c>
    </row>
    <row r="623" spans="1:23">
      <c r="A623"/>
      <c r="B623" t="s">
        <v>90</v>
      </c>
      <c r="C623" t="s">
        <v>90</v>
      </c>
      <c r="D623" t="s">
        <v>33</v>
      </c>
      <c r="E623" t="s">
        <v>34</v>
      </c>
      <c r="F623" t="str">
        <f>"0014258"</f>
        <v>0014258</v>
      </c>
      <c r="G623">
        <v>1</v>
      </c>
      <c r="H623" t="str">
        <f>"00000001"</f>
        <v>00000001</v>
      </c>
      <c r="I623" t="s">
        <v>35</v>
      </c>
      <c r="J623"/>
      <c r="K623">
        <v>54.24</v>
      </c>
      <c r="L623">
        <v>0.0</v>
      </c>
      <c r="M623"/>
      <c r="N623"/>
      <c r="O623">
        <v>9.76</v>
      </c>
      <c r="P623">
        <v>0.0</v>
      </c>
      <c r="Q623">
        <v>64.0</v>
      </c>
      <c r="R623"/>
      <c r="S623"/>
      <c r="T623"/>
      <c r="U623"/>
      <c r="V623"/>
      <c r="W623">
        <v>18</v>
      </c>
    </row>
    <row r="624" spans="1:23">
      <c r="A624"/>
      <c r="B624" t="s">
        <v>90</v>
      </c>
      <c r="C624" t="s">
        <v>90</v>
      </c>
      <c r="D624" t="s">
        <v>33</v>
      </c>
      <c r="E624" t="s">
        <v>34</v>
      </c>
      <c r="F624" t="str">
        <f>"0014259"</f>
        <v>0014259</v>
      </c>
      <c r="G624">
        <v>1</v>
      </c>
      <c r="H624" t="str">
        <f>"00000001"</f>
        <v>00000001</v>
      </c>
      <c r="I624" t="s">
        <v>35</v>
      </c>
      <c r="J624"/>
      <c r="K624">
        <v>27.12</v>
      </c>
      <c r="L624">
        <v>0.0</v>
      </c>
      <c r="M624"/>
      <c r="N624"/>
      <c r="O624">
        <v>4.88</v>
      </c>
      <c r="P624">
        <v>0.0</v>
      </c>
      <c r="Q624">
        <v>32.0</v>
      </c>
      <c r="R624"/>
      <c r="S624"/>
      <c r="T624"/>
      <c r="U624"/>
      <c r="V624"/>
      <c r="W624">
        <v>18</v>
      </c>
    </row>
    <row r="625" spans="1:23">
      <c r="A625"/>
      <c r="B625" t="s">
        <v>90</v>
      </c>
      <c r="C625" t="s">
        <v>90</v>
      </c>
      <c r="D625" t="s">
        <v>33</v>
      </c>
      <c r="E625" t="s">
        <v>34</v>
      </c>
      <c r="F625" t="str">
        <f>"0014260"</f>
        <v>0014260</v>
      </c>
      <c r="G625">
        <v>1</v>
      </c>
      <c r="H625" t="str">
        <f>"00000001"</f>
        <v>00000001</v>
      </c>
      <c r="I625" t="s">
        <v>35</v>
      </c>
      <c r="J625"/>
      <c r="K625">
        <v>19.49</v>
      </c>
      <c r="L625">
        <v>0.0</v>
      </c>
      <c r="M625"/>
      <c r="N625"/>
      <c r="O625">
        <v>3.51</v>
      </c>
      <c r="P625">
        <v>0.0</v>
      </c>
      <c r="Q625">
        <v>23.0</v>
      </c>
      <c r="R625"/>
      <c r="S625"/>
      <c r="T625"/>
      <c r="U625"/>
      <c r="V625"/>
      <c r="W625">
        <v>18</v>
      </c>
    </row>
    <row r="626" spans="1:23">
      <c r="A626"/>
      <c r="B626" t="s">
        <v>90</v>
      </c>
      <c r="C626" t="s">
        <v>90</v>
      </c>
      <c r="D626" t="s">
        <v>33</v>
      </c>
      <c r="E626" t="s">
        <v>34</v>
      </c>
      <c r="F626" t="str">
        <f>"0014261"</f>
        <v>0014261</v>
      </c>
      <c r="G626">
        <v>1</v>
      </c>
      <c r="H626" t="str">
        <f>"00000001"</f>
        <v>00000001</v>
      </c>
      <c r="I626" t="s">
        <v>35</v>
      </c>
      <c r="J626"/>
      <c r="K626">
        <v>6.78</v>
      </c>
      <c r="L626">
        <v>0.0</v>
      </c>
      <c r="M626"/>
      <c r="N626"/>
      <c r="O626">
        <v>1.22</v>
      </c>
      <c r="P626">
        <v>0.0</v>
      </c>
      <c r="Q626">
        <v>8.0</v>
      </c>
      <c r="R626"/>
      <c r="S626"/>
      <c r="T626"/>
      <c r="U626"/>
      <c r="V626"/>
      <c r="W626">
        <v>18</v>
      </c>
    </row>
    <row r="627" spans="1:23">
      <c r="A627"/>
      <c r="B627" t="s">
        <v>90</v>
      </c>
      <c r="C627" t="s">
        <v>90</v>
      </c>
      <c r="D627" t="s">
        <v>33</v>
      </c>
      <c r="E627" t="s">
        <v>34</v>
      </c>
      <c r="F627" t="str">
        <f>"0014262"</f>
        <v>0014262</v>
      </c>
      <c r="G627">
        <v>1</v>
      </c>
      <c r="H627" t="str">
        <f>"00000001"</f>
        <v>00000001</v>
      </c>
      <c r="I627" t="s">
        <v>35</v>
      </c>
      <c r="J627"/>
      <c r="K627">
        <v>5.08</v>
      </c>
      <c r="L627">
        <v>0.0</v>
      </c>
      <c r="M627"/>
      <c r="N627"/>
      <c r="O627">
        <v>0.92</v>
      </c>
      <c r="P627">
        <v>0.0</v>
      </c>
      <c r="Q627">
        <v>6.0</v>
      </c>
      <c r="R627"/>
      <c r="S627"/>
      <c r="T627"/>
      <c r="U627"/>
      <c r="V627"/>
      <c r="W627">
        <v>18</v>
      </c>
    </row>
    <row r="628" spans="1:23">
      <c r="A628"/>
      <c r="B628" t="s">
        <v>90</v>
      </c>
      <c r="C628" t="s">
        <v>90</v>
      </c>
      <c r="D628" t="s">
        <v>33</v>
      </c>
      <c r="E628" t="s">
        <v>34</v>
      </c>
      <c r="F628" t="str">
        <f>"0014263"</f>
        <v>0014263</v>
      </c>
      <c r="G628">
        <v>1</v>
      </c>
      <c r="H628" t="str">
        <f>"00000001"</f>
        <v>00000001</v>
      </c>
      <c r="I628" t="s">
        <v>35</v>
      </c>
      <c r="J628"/>
      <c r="K628">
        <v>27.54</v>
      </c>
      <c r="L628">
        <v>0.0</v>
      </c>
      <c r="M628"/>
      <c r="N628"/>
      <c r="O628">
        <v>4.96</v>
      </c>
      <c r="P628">
        <v>0.0</v>
      </c>
      <c r="Q628">
        <v>32.5</v>
      </c>
      <c r="R628"/>
      <c r="S628"/>
      <c r="T628"/>
      <c r="U628"/>
      <c r="V628"/>
      <c r="W628">
        <v>18</v>
      </c>
    </row>
    <row r="629" spans="1:23">
      <c r="A629"/>
      <c r="B629" t="s">
        <v>90</v>
      </c>
      <c r="C629" t="s">
        <v>90</v>
      </c>
      <c r="D629" t="s">
        <v>33</v>
      </c>
      <c r="E629" t="s">
        <v>34</v>
      </c>
      <c r="F629" t="str">
        <f>"0014264"</f>
        <v>0014264</v>
      </c>
      <c r="G629">
        <v>1</v>
      </c>
      <c r="H629" t="str">
        <f>"00000001"</f>
        <v>00000001</v>
      </c>
      <c r="I629" t="s">
        <v>35</v>
      </c>
      <c r="J629"/>
      <c r="K629">
        <v>9.32</v>
      </c>
      <c r="L629">
        <v>0.0</v>
      </c>
      <c r="M629"/>
      <c r="N629"/>
      <c r="O629">
        <v>1.68</v>
      </c>
      <c r="P629">
        <v>0.0</v>
      </c>
      <c r="Q629">
        <v>11.0</v>
      </c>
      <c r="R629"/>
      <c r="S629"/>
      <c r="T629"/>
      <c r="U629"/>
      <c r="V629"/>
      <c r="W629">
        <v>18</v>
      </c>
    </row>
    <row r="630" spans="1:23">
      <c r="A630"/>
      <c r="B630" t="s">
        <v>90</v>
      </c>
      <c r="C630" t="s">
        <v>90</v>
      </c>
      <c r="D630" t="s">
        <v>33</v>
      </c>
      <c r="E630" t="s">
        <v>34</v>
      </c>
      <c r="F630" t="str">
        <f>"0014265"</f>
        <v>0014265</v>
      </c>
      <c r="G630">
        <v>1</v>
      </c>
      <c r="H630" t="str">
        <f>"00000001"</f>
        <v>00000001</v>
      </c>
      <c r="I630" t="s">
        <v>35</v>
      </c>
      <c r="J630"/>
      <c r="K630">
        <v>6.78</v>
      </c>
      <c r="L630">
        <v>0.0</v>
      </c>
      <c r="M630"/>
      <c r="N630"/>
      <c r="O630">
        <v>1.22</v>
      </c>
      <c r="P630">
        <v>0.0</v>
      </c>
      <c r="Q630">
        <v>8.0</v>
      </c>
      <c r="R630"/>
      <c r="S630"/>
      <c r="T630"/>
      <c r="U630"/>
      <c r="V630"/>
      <c r="W630">
        <v>18</v>
      </c>
    </row>
    <row r="631" spans="1:23">
      <c r="A631"/>
      <c r="B631" t="s">
        <v>90</v>
      </c>
      <c r="C631" t="s">
        <v>90</v>
      </c>
      <c r="D631" t="s">
        <v>33</v>
      </c>
      <c r="E631" t="s">
        <v>34</v>
      </c>
      <c r="F631" t="str">
        <f>"0014266"</f>
        <v>0014266</v>
      </c>
      <c r="G631">
        <v>1</v>
      </c>
      <c r="H631" t="str">
        <f>"00000001"</f>
        <v>00000001</v>
      </c>
      <c r="I631" t="s">
        <v>35</v>
      </c>
      <c r="J631"/>
      <c r="K631">
        <v>6.78</v>
      </c>
      <c r="L631">
        <v>0.0</v>
      </c>
      <c r="M631"/>
      <c r="N631"/>
      <c r="O631">
        <v>1.22</v>
      </c>
      <c r="P631">
        <v>0.0</v>
      </c>
      <c r="Q631">
        <v>8.0</v>
      </c>
      <c r="R631"/>
      <c r="S631"/>
      <c r="T631"/>
      <c r="U631"/>
      <c r="V631"/>
      <c r="W631">
        <v>18</v>
      </c>
    </row>
    <row r="632" spans="1:23">
      <c r="A632"/>
      <c r="B632" t="s">
        <v>90</v>
      </c>
      <c r="C632" t="s">
        <v>90</v>
      </c>
      <c r="D632" t="s">
        <v>33</v>
      </c>
      <c r="E632" t="s">
        <v>34</v>
      </c>
      <c r="F632" t="str">
        <f>"0014267"</f>
        <v>0014267</v>
      </c>
      <c r="G632">
        <v>1</v>
      </c>
      <c r="H632" t="str">
        <f>"00000001"</f>
        <v>00000001</v>
      </c>
      <c r="I632" t="s">
        <v>35</v>
      </c>
      <c r="J632"/>
      <c r="K632">
        <v>6.78</v>
      </c>
      <c r="L632">
        <v>0.0</v>
      </c>
      <c r="M632"/>
      <c r="N632"/>
      <c r="O632">
        <v>1.22</v>
      </c>
      <c r="P632">
        <v>0.0</v>
      </c>
      <c r="Q632">
        <v>8.0</v>
      </c>
      <c r="R632"/>
      <c r="S632"/>
      <c r="T632"/>
      <c r="U632"/>
      <c r="V632"/>
      <c r="W632">
        <v>18</v>
      </c>
    </row>
    <row r="633" spans="1:23">
      <c r="A633"/>
      <c r="B633" t="s">
        <v>90</v>
      </c>
      <c r="C633" t="s">
        <v>90</v>
      </c>
      <c r="D633" t="s">
        <v>33</v>
      </c>
      <c r="E633" t="s">
        <v>34</v>
      </c>
      <c r="F633" t="str">
        <f>"0014268"</f>
        <v>0014268</v>
      </c>
      <c r="G633">
        <v>1</v>
      </c>
      <c r="H633" t="str">
        <f>"00000001"</f>
        <v>00000001</v>
      </c>
      <c r="I633" t="s">
        <v>35</v>
      </c>
      <c r="J633"/>
      <c r="K633">
        <v>4.24</v>
      </c>
      <c r="L633">
        <v>0.0</v>
      </c>
      <c r="M633"/>
      <c r="N633"/>
      <c r="O633">
        <v>0.76</v>
      </c>
      <c r="P633">
        <v>0.0</v>
      </c>
      <c r="Q633">
        <v>5.0</v>
      </c>
      <c r="R633"/>
      <c r="S633"/>
      <c r="T633"/>
      <c r="U633"/>
      <c r="V633"/>
      <c r="W633">
        <v>18</v>
      </c>
    </row>
    <row r="634" spans="1:23">
      <c r="A634"/>
      <c r="B634" t="s">
        <v>90</v>
      </c>
      <c r="C634" t="s">
        <v>90</v>
      </c>
      <c r="D634" t="s">
        <v>33</v>
      </c>
      <c r="E634" t="s">
        <v>34</v>
      </c>
      <c r="F634" t="str">
        <f>"0014269"</f>
        <v>0014269</v>
      </c>
      <c r="G634">
        <v>1</v>
      </c>
      <c r="H634" t="str">
        <f>"00000001"</f>
        <v>00000001</v>
      </c>
      <c r="I634" t="s">
        <v>35</v>
      </c>
      <c r="J634"/>
      <c r="K634">
        <v>16.95</v>
      </c>
      <c r="L634">
        <v>0.0</v>
      </c>
      <c r="M634"/>
      <c r="N634"/>
      <c r="O634">
        <v>3.05</v>
      </c>
      <c r="P634">
        <v>0.0</v>
      </c>
      <c r="Q634">
        <v>20.0</v>
      </c>
      <c r="R634"/>
      <c r="S634"/>
      <c r="T634"/>
      <c r="U634"/>
      <c r="V634"/>
      <c r="W634">
        <v>18</v>
      </c>
    </row>
    <row r="635" spans="1:23">
      <c r="A635"/>
      <c r="B635" t="s">
        <v>90</v>
      </c>
      <c r="C635" t="s">
        <v>90</v>
      </c>
      <c r="D635" t="s">
        <v>33</v>
      </c>
      <c r="E635" t="s">
        <v>34</v>
      </c>
      <c r="F635" t="str">
        <f>"0014270"</f>
        <v>0014270</v>
      </c>
      <c r="G635">
        <v>1</v>
      </c>
      <c r="H635" t="str">
        <f>"00000001"</f>
        <v>00000001</v>
      </c>
      <c r="I635" t="s">
        <v>35</v>
      </c>
      <c r="J635"/>
      <c r="K635">
        <v>16.95</v>
      </c>
      <c r="L635">
        <v>0.0</v>
      </c>
      <c r="M635"/>
      <c r="N635"/>
      <c r="O635">
        <v>3.05</v>
      </c>
      <c r="P635">
        <v>0.0</v>
      </c>
      <c r="Q635">
        <v>20.0</v>
      </c>
      <c r="R635"/>
      <c r="S635"/>
      <c r="T635"/>
      <c r="U635"/>
      <c r="V635"/>
      <c r="W635">
        <v>18</v>
      </c>
    </row>
    <row r="636" spans="1:23">
      <c r="A636"/>
      <c r="B636" t="s">
        <v>90</v>
      </c>
      <c r="C636" t="s">
        <v>90</v>
      </c>
      <c r="D636" t="s">
        <v>33</v>
      </c>
      <c r="E636" t="s">
        <v>34</v>
      </c>
      <c r="F636" t="str">
        <f>"0014271"</f>
        <v>0014271</v>
      </c>
      <c r="G636">
        <v>1</v>
      </c>
      <c r="H636" t="str">
        <f>"00000001"</f>
        <v>00000001</v>
      </c>
      <c r="I636" t="s">
        <v>35</v>
      </c>
      <c r="J636"/>
      <c r="K636">
        <v>25.42</v>
      </c>
      <c r="L636">
        <v>0.0</v>
      </c>
      <c r="M636"/>
      <c r="N636"/>
      <c r="O636">
        <v>4.58</v>
      </c>
      <c r="P636">
        <v>0.0</v>
      </c>
      <c r="Q636">
        <v>30.0</v>
      </c>
      <c r="R636"/>
      <c r="S636"/>
      <c r="T636"/>
      <c r="U636"/>
      <c r="V636"/>
      <c r="W636">
        <v>18</v>
      </c>
    </row>
    <row r="637" spans="1:23">
      <c r="A637"/>
      <c r="B637" t="s">
        <v>90</v>
      </c>
      <c r="C637" t="s">
        <v>90</v>
      </c>
      <c r="D637" t="s">
        <v>33</v>
      </c>
      <c r="E637" t="s">
        <v>34</v>
      </c>
      <c r="F637" t="str">
        <f>"0014272"</f>
        <v>0014272</v>
      </c>
      <c r="G637">
        <v>1</v>
      </c>
      <c r="H637" t="str">
        <f>"00000001"</f>
        <v>00000001</v>
      </c>
      <c r="I637" t="s">
        <v>35</v>
      </c>
      <c r="J637"/>
      <c r="K637">
        <v>12.71</v>
      </c>
      <c r="L637">
        <v>0.0</v>
      </c>
      <c r="M637"/>
      <c r="N637"/>
      <c r="O637">
        <v>2.29</v>
      </c>
      <c r="P637">
        <v>0.0</v>
      </c>
      <c r="Q637">
        <v>15.0</v>
      </c>
      <c r="R637"/>
      <c r="S637"/>
      <c r="T637"/>
      <c r="U637"/>
      <c r="V637"/>
      <c r="W637">
        <v>18</v>
      </c>
    </row>
    <row r="638" spans="1:23">
      <c r="A638"/>
      <c r="B638" t="s">
        <v>90</v>
      </c>
      <c r="C638" t="s">
        <v>90</v>
      </c>
      <c r="D638" t="s">
        <v>33</v>
      </c>
      <c r="E638" t="s">
        <v>34</v>
      </c>
      <c r="F638" t="str">
        <f>"0014273"</f>
        <v>0014273</v>
      </c>
      <c r="G638">
        <v>1</v>
      </c>
      <c r="H638" t="str">
        <f>"00000001"</f>
        <v>00000001</v>
      </c>
      <c r="I638" t="s">
        <v>35</v>
      </c>
      <c r="J638"/>
      <c r="K638">
        <v>162.71</v>
      </c>
      <c r="L638">
        <v>0.0</v>
      </c>
      <c r="M638"/>
      <c r="N638"/>
      <c r="O638">
        <v>29.29</v>
      </c>
      <c r="P638">
        <v>0.0</v>
      </c>
      <c r="Q638">
        <v>192.0</v>
      </c>
      <c r="R638"/>
      <c r="S638"/>
      <c r="T638"/>
      <c r="U638"/>
      <c r="V638"/>
      <c r="W638">
        <v>18</v>
      </c>
    </row>
    <row r="639" spans="1:23">
      <c r="A639"/>
      <c r="B639" t="s">
        <v>90</v>
      </c>
      <c r="C639" t="s">
        <v>90</v>
      </c>
      <c r="D639" t="s">
        <v>33</v>
      </c>
      <c r="E639" t="s">
        <v>34</v>
      </c>
      <c r="F639" t="str">
        <f>"0014274"</f>
        <v>0014274</v>
      </c>
      <c r="G639">
        <v>1</v>
      </c>
      <c r="H639" t="str">
        <f>"00000001"</f>
        <v>00000001</v>
      </c>
      <c r="I639" t="s">
        <v>35</v>
      </c>
      <c r="J639"/>
      <c r="K639">
        <v>81.36</v>
      </c>
      <c r="L639">
        <v>0.0</v>
      </c>
      <c r="M639"/>
      <c r="N639"/>
      <c r="O639">
        <v>14.64</v>
      </c>
      <c r="P639">
        <v>0.0</v>
      </c>
      <c r="Q639">
        <v>96.0</v>
      </c>
      <c r="R639"/>
      <c r="S639"/>
      <c r="T639"/>
      <c r="U639"/>
      <c r="V639"/>
      <c r="W639">
        <v>18</v>
      </c>
    </row>
    <row r="640" spans="1:23">
      <c r="A640"/>
      <c r="B640" t="s">
        <v>90</v>
      </c>
      <c r="C640" t="s">
        <v>90</v>
      </c>
      <c r="D640" t="s">
        <v>33</v>
      </c>
      <c r="E640" t="s">
        <v>34</v>
      </c>
      <c r="F640" t="str">
        <f>"0014275"</f>
        <v>0014275</v>
      </c>
      <c r="G640">
        <v>1</v>
      </c>
      <c r="H640" t="str">
        <f>"00000001"</f>
        <v>00000001</v>
      </c>
      <c r="I640" t="s">
        <v>35</v>
      </c>
      <c r="J640"/>
      <c r="K640">
        <v>12.71</v>
      </c>
      <c r="L640">
        <v>0.0</v>
      </c>
      <c r="M640"/>
      <c r="N640"/>
      <c r="O640">
        <v>2.29</v>
      </c>
      <c r="P640">
        <v>0.0</v>
      </c>
      <c r="Q640">
        <v>15.0</v>
      </c>
      <c r="R640"/>
      <c r="S640"/>
      <c r="T640"/>
      <c r="U640"/>
      <c r="V640"/>
      <c r="W640">
        <v>18</v>
      </c>
    </row>
    <row r="641" spans="1:23">
      <c r="A641"/>
      <c r="B641" t="s">
        <v>90</v>
      </c>
      <c r="C641" t="s">
        <v>90</v>
      </c>
      <c r="D641" t="s">
        <v>33</v>
      </c>
      <c r="E641" t="s">
        <v>34</v>
      </c>
      <c r="F641" t="str">
        <f>"0014276"</f>
        <v>0014276</v>
      </c>
      <c r="G641">
        <v>1</v>
      </c>
      <c r="H641" t="str">
        <f>"00000001"</f>
        <v>00000001</v>
      </c>
      <c r="I641" t="s">
        <v>35</v>
      </c>
      <c r="J641"/>
      <c r="K641">
        <v>7.63</v>
      </c>
      <c r="L641">
        <v>0.0</v>
      </c>
      <c r="M641"/>
      <c r="N641"/>
      <c r="O641">
        <v>1.37</v>
      </c>
      <c r="P641">
        <v>0.0</v>
      </c>
      <c r="Q641">
        <v>9.0</v>
      </c>
      <c r="R641"/>
      <c r="S641"/>
      <c r="T641"/>
      <c r="U641"/>
      <c r="V641"/>
      <c r="W641">
        <v>18</v>
      </c>
    </row>
    <row r="642" spans="1:23">
      <c r="A642"/>
      <c r="B642" t="s">
        <v>93</v>
      </c>
      <c r="C642" t="s">
        <v>93</v>
      </c>
      <c r="D642" t="s">
        <v>33</v>
      </c>
      <c r="E642" t="s">
        <v>34</v>
      </c>
      <c r="F642" t="str">
        <f>"0014277"</f>
        <v>0014277</v>
      </c>
      <c r="G642">
        <v>1</v>
      </c>
      <c r="H642" t="str">
        <f>"00000001"</f>
        <v>00000001</v>
      </c>
      <c r="I642" t="s">
        <v>35</v>
      </c>
      <c r="J642"/>
      <c r="K642">
        <v>52.54</v>
      </c>
      <c r="L642">
        <v>0.0</v>
      </c>
      <c r="M642"/>
      <c r="N642"/>
      <c r="O642">
        <v>9.46</v>
      </c>
      <c r="P642">
        <v>0.0</v>
      </c>
      <c r="Q642">
        <v>62.0</v>
      </c>
      <c r="R642"/>
      <c r="S642"/>
      <c r="T642"/>
      <c r="U642"/>
      <c r="V642"/>
      <c r="W642">
        <v>18</v>
      </c>
    </row>
    <row r="643" spans="1:23">
      <c r="A643"/>
      <c r="B643" t="s">
        <v>93</v>
      </c>
      <c r="C643" t="s">
        <v>93</v>
      </c>
      <c r="D643" t="s">
        <v>33</v>
      </c>
      <c r="E643" t="s">
        <v>34</v>
      </c>
      <c r="F643" t="str">
        <f>"0014278"</f>
        <v>0014278</v>
      </c>
      <c r="G643">
        <v>1</v>
      </c>
      <c r="H643" t="str">
        <f>"73828054"</f>
        <v>73828054</v>
      </c>
      <c r="I643" t="s">
        <v>66</v>
      </c>
      <c r="J643"/>
      <c r="K643">
        <v>8.47</v>
      </c>
      <c r="L643">
        <v>0.0</v>
      </c>
      <c r="M643"/>
      <c r="N643"/>
      <c r="O643">
        <v>1.53</v>
      </c>
      <c r="P643">
        <v>0.0</v>
      </c>
      <c r="Q643">
        <v>10.0</v>
      </c>
      <c r="R643"/>
      <c r="S643"/>
      <c r="T643"/>
      <c r="U643"/>
      <c r="V643"/>
      <c r="W643">
        <v>18</v>
      </c>
    </row>
    <row r="644" spans="1:23">
      <c r="A644"/>
      <c r="B644" t="s">
        <v>93</v>
      </c>
      <c r="C644" t="s">
        <v>93</v>
      </c>
      <c r="D644" t="s">
        <v>33</v>
      </c>
      <c r="E644" t="s">
        <v>34</v>
      </c>
      <c r="F644" t="str">
        <f>"0014279"</f>
        <v>0014279</v>
      </c>
      <c r="G644">
        <v>1</v>
      </c>
      <c r="H644" t="str">
        <f>"00000001"</f>
        <v>00000001</v>
      </c>
      <c r="I644" t="s">
        <v>35</v>
      </c>
      <c r="J644"/>
      <c r="K644">
        <v>10.17</v>
      </c>
      <c r="L644">
        <v>0.0</v>
      </c>
      <c r="M644"/>
      <c r="N644"/>
      <c r="O644">
        <v>1.83</v>
      </c>
      <c r="P644">
        <v>0.0</v>
      </c>
      <c r="Q644">
        <v>12.0</v>
      </c>
      <c r="R644"/>
      <c r="S644"/>
      <c r="T644"/>
      <c r="U644"/>
      <c r="V644"/>
      <c r="W644">
        <v>18</v>
      </c>
    </row>
    <row r="645" spans="1:23">
      <c r="A645"/>
      <c r="B645" t="s">
        <v>93</v>
      </c>
      <c r="C645" t="s">
        <v>93</v>
      </c>
      <c r="D645" t="s">
        <v>33</v>
      </c>
      <c r="E645" t="s">
        <v>34</v>
      </c>
      <c r="F645" t="str">
        <f>"0014280"</f>
        <v>0014280</v>
      </c>
      <c r="G645">
        <v>1</v>
      </c>
      <c r="H645" t="str">
        <f>"00000001"</f>
        <v>00000001</v>
      </c>
      <c r="I645" t="s">
        <v>35</v>
      </c>
      <c r="J645"/>
      <c r="K645">
        <v>13.98</v>
      </c>
      <c r="L645">
        <v>0.0</v>
      </c>
      <c r="M645"/>
      <c r="N645"/>
      <c r="O645">
        <v>2.52</v>
      </c>
      <c r="P645">
        <v>0.0</v>
      </c>
      <c r="Q645">
        <v>16.5</v>
      </c>
      <c r="R645"/>
      <c r="S645"/>
      <c r="T645"/>
      <c r="U645"/>
      <c r="V645"/>
      <c r="W645">
        <v>18</v>
      </c>
    </row>
    <row r="646" spans="1:23">
      <c r="A646"/>
      <c r="B646" t="s">
        <v>93</v>
      </c>
      <c r="C646" t="s">
        <v>93</v>
      </c>
      <c r="D646" t="s">
        <v>33</v>
      </c>
      <c r="E646" t="s">
        <v>34</v>
      </c>
      <c r="F646" t="str">
        <f>"0014281"</f>
        <v>0014281</v>
      </c>
      <c r="G646">
        <v>1</v>
      </c>
      <c r="H646" t="str">
        <f>"00000001"</f>
        <v>00000001</v>
      </c>
      <c r="I646" t="s">
        <v>35</v>
      </c>
      <c r="J646"/>
      <c r="K646">
        <v>4.66</v>
      </c>
      <c r="L646">
        <v>0.0</v>
      </c>
      <c r="M646"/>
      <c r="N646"/>
      <c r="O646">
        <v>0.84</v>
      </c>
      <c r="P646">
        <v>0.0</v>
      </c>
      <c r="Q646">
        <v>5.5</v>
      </c>
      <c r="R646"/>
      <c r="S646"/>
      <c r="T646"/>
      <c r="U646"/>
      <c r="V646"/>
      <c r="W646">
        <v>18</v>
      </c>
    </row>
    <row r="647" spans="1:23">
      <c r="A647"/>
      <c r="B647" t="s">
        <v>93</v>
      </c>
      <c r="C647" t="s">
        <v>93</v>
      </c>
      <c r="D647" t="s">
        <v>33</v>
      </c>
      <c r="E647" t="s">
        <v>34</v>
      </c>
      <c r="F647" t="str">
        <f>"0014282"</f>
        <v>0014282</v>
      </c>
      <c r="G647">
        <v>1</v>
      </c>
      <c r="H647" t="str">
        <f>"00000001"</f>
        <v>00000001</v>
      </c>
      <c r="I647" t="s">
        <v>35</v>
      </c>
      <c r="J647"/>
      <c r="K647">
        <v>8.47</v>
      </c>
      <c r="L647">
        <v>0.0</v>
      </c>
      <c r="M647"/>
      <c r="N647"/>
      <c r="O647">
        <v>1.53</v>
      </c>
      <c r="P647">
        <v>0.0</v>
      </c>
      <c r="Q647">
        <v>10.0</v>
      </c>
      <c r="R647"/>
      <c r="S647"/>
      <c r="T647"/>
      <c r="U647"/>
      <c r="V647"/>
      <c r="W647">
        <v>18</v>
      </c>
    </row>
    <row r="648" spans="1:23">
      <c r="A648"/>
      <c r="B648" t="s">
        <v>93</v>
      </c>
      <c r="C648" t="s">
        <v>93</v>
      </c>
      <c r="D648" t="s">
        <v>33</v>
      </c>
      <c r="E648" t="s">
        <v>34</v>
      </c>
      <c r="F648" t="str">
        <f>"0014283"</f>
        <v>0014283</v>
      </c>
      <c r="G648">
        <v>1</v>
      </c>
      <c r="H648" t="str">
        <f>"00000001"</f>
        <v>00000001</v>
      </c>
      <c r="I648" t="s">
        <v>35</v>
      </c>
      <c r="J648"/>
      <c r="K648">
        <v>19.49</v>
      </c>
      <c r="L648">
        <v>0.0</v>
      </c>
      <c r="M648"/>
      <c r="N648"/>
      <c r="O648">
        <v>3.51</v>
      </c>
      <c r="P648">
        <v>0.0</v>
      </c>
      <c r="Q648">
        <v>23.0</v>
      </c>
      <c r="R648"/>
      <c r="S648"/>
      <c r="T648"/>
      <c r="U648"/>
      <c r="V648"/>
      <c r="W648">
        <v>18</v>
      </c>
    </row>
    <row r="649" spans="1:23">
      <c r="A649"/>
      <c r="B649" t="s">
        <v>93</v>
      </c>
      <c r="C649" t="s">
        <v>93</v>
      </c>
      <c r="D649" t="s">
        <v>33</v>
      </c>
      <c r="E649" t="s">
        <v>34</v>
      </c>
      <c r="F649" t="str">
        <f>"0014284"</f>
        <v>0014284</v>
      </c>
      <c r="G649">
        <v>1</v>
      </c>
      <c r="H649" t="str">
        <f>"00000001"</f>
        <v>00000001</v>
      </c>
      <c r="I649" t="s">
        <v>35</v>
      </c>
      <c r="J649"/>
      <c r="K649">
        <v>8.47</v>
      </c>
      <c r="L649">
        <v>0.0</v>
      </c>
      <c r="M649"/>
      <c r="N649"/>
      <c r="O649">
        <v>1.53</v>
      </c>
      <c r="P649">
        <v>0.0</v>
      </c>
      <c r="Q649">
        <v>10.0</v>
      </c>
      <c r="R649"/>
      <c r="S649"/>
      <c r="T649"/>
      <c r="U649"/>
      <c r="V649"/>
      <c r="W649">
        <v>18</v>
      </c>
    </row>
    <row r="650" spans="1:23">
      <c r="A650"/>
      <c r="B650" t="s">
        <v>93</v>
      </c>
      <c r="C650" t="s">
        <v>93</v>
      </c>
      <c r="D650" t="s">
        <v>33</v>
      </c>
      <c r="E650" t="s">
        <v>34</v>
      </c>
      <c r="F650" t="str">
        <f>"0014285"</f>
        <v>0014285</v>
      </c>
      <c r="G650">
        <v>1</v>
      </c>
      <c r="H650" t="str">
        <f>"00000001"</f>
        <v>00000001</v>
      </c>
      <c r="I650" t="s">
        <v>35</v>
      </c>
      <c r="J650"/>
      <c r="K650">
        <v>4.24</v>
      </c>
      <c r="L650">
        <v>0.0</v>
      </c>
      <c r="M650"/>
      <c r="N650"/>
      <c r="O650">
        <v>0.76</v>
      </c>
      <c r="P650">
        <v>0.0</v>
      </c>
      <c r="Q650">
        <v>5.0</v>
      </c>
      <c r="R650"/>
      <c r="S650"/>
      <c r="T650"/>
      <c r="U650"/>
      <c r="V650"/>
      <c r="W650">
        <v>18</v>
      </c>
    </row>
    <row r="651" spans="1:23">
      <c r="A651"/>
      <c r="B651" t="s">
        <v>93</v>
      </c>
      <c r="C651" t="s">
        <v>93</v>
      </c>
      <c r="D651" t="s">
        <v>33</v>
      </c>
      <c r="E651" t="s">
        <v>34</v>
      </c>
      <c r="F651" t="str">
        <f>"0014286"</f>
        <v>0014286</v>
      </c>
      <c r="G651">
        <v>1</v>
      </c>
      <c r="H651" t="str">
        <f>"00000001"</f>
        <v>00000001</v>
      </c>
      <c r="I651" t="s">
        <v>35</v>
      </c>
      <c r="J651"/>
      <c r="K651">
        <v>4.24</v>
      </c>
      <c r="L651">
        <v>0.0</v>
      </c>
      <c r="M651"/>
      <c r="N651"/>
      <c r="O651">
        <v>0.76</v>
      </c>
      <c r="P651">
        <v>0.0</v>
      </c>
      <c r="Q651">
        <v>5.0</v>
      </c>
      <c r="R651"/>
      <c r="S651"/>
      <c r="T651"/>
      <c r="U651"/>
      <c r="V651"/>
      <c r="W651">
        <v>18</v>
      </c>
    </row>
    <row r="652" spans="1:23">
      <c r="A652"/>
      <c r="B652" t="s">
        <v>93</v>
      </c>
      <c r="C652" t="s">
        <v>93</v>
      </c>
      <c r="D652" t="s">
        <v>33</v>
      </c>
      <c r="E652" t="s">
        <v>34</v>
      </c>
      <c r="F652" t="str">
        <f>"0014287"</f>
        <v>0014287</v>
      </c>
      <c r="G652">
        <v>1</v>
      </c>
      <c r="H652" t="str">
        <f>"00000001"</f>
        <v>00000001</v>
      </c>
      <c r="I652" t="s">
        <v>35</v>
      </c>
      <c r="J652"/>
      <c r="K652">
        <v>11.02</v>
      </c>
      <c r="L652">
        <v>0.0</v>
      </c>
      <c r="M652"/>
      <c r="N652"/>
      <c r="O652">
        <v>1.98</v>
      </c>
      <c r="P652">
        <v>0.0</v>
      </c>
      <c r="Q652">
        <v>13.0</v>
      </c>
      <c r="R652"/>
      <c r="S652"/>
      <c r="T652"/>
      <c r="U652"/>
      <c r="V652"/>
      <c r="W652">
        <v>18</v>
      </c>
    </row>
    <row r="653" spans="1:23">
      <c r="A653"/>
      <c r="B653" t="s">
        <v>93</v>
      </c>
      <c r="C653" t="s">
        <v>93</v>
      </c>
      <c r="D653" t="s">
        <v>33</v>
      </c>
      <c r="E653" t="s">
        <v>34</v>
      </c>
      <c r="F653" t="str">
        <f>"0014288"</f>
        <v>0014288</v>
      </c>
      <c r="G653">
        <v>1</v>
      </c>
      <c r="H653" t="str">
        <f>"00000001"</f>
        <v>00000001</v>
      </c>
      <c r="I653" t="s">
        <v>35</v>
      </c>
      <c r="J653"/>
      <c r="K653">
        <v>20.34</v>
      </c>
      <c r="L653">
        <v>0.0</v>
      </c>
      <c r="M653"/>
      <c r="N653"/>
      <c r="O653">
        <v>3.66</v>
      </c>
      <c r="P653">
        <v>0.0</v>
      </c>
      <c r="Q653">
        <v>24.0</v>
      </c>
      <c r="R653"/>
      <c r="S653"/>
      <c r="T653"/>
      <c r="U653"/>
      <c r="V653"/>
      <c r="W653">
        <v>18</v>
      </c>
    </row>
    <row r="654" spans="1:23">
      <c r="A654"/>
      <c r="B654" t="s">
        <v>93</v>
      </c>
      <c r="C654" t="s">
        <v>93</v>
      </c>
      <c r="D654" t="s">
        <v>33</v>
      </c>
      <c r="E654" t="s">
        <v>34</v>
      </c>
      <c r="F654" t="str">
        <f>"0014289"</f>
        <v>0014289</v>
      </c>
      <c r="G654">
        <v>1</v>
      </c>
      <c r="H654" t="str">
        <f>"00000001"</f>
        <v>00000001</v>
      </c>
      <c r="I654" t="s">
        <v>35</v>
      </c>
      <c r="J654"/>
      <c r="K654">
        <v>18.64</v>
      </c>
      <c r="L654">
        <v>0.0</v>
      </c>
      <c r="M654"/>
      <c r="N654"/>
      <c r="O654">
        <v>3.36</v>
      </c>
      <c r="P654">
        <v>0.0</v>
      </c>
      <c r="Q654">
        <v>22.0</v>
      </c>
      <c r="R654"/>
      <c r="S654"/>
      <c r="T654"/>
      <c r="U654"/>
      <c r="V654"/>
      <c r="W654">
        <v>18</v>
      </c>
    </row>
    <row r="655" spans="1:23">
      <c r="A655"/>
      <c r="B655" t="s">
        <v>93</v>
      </c>
      <c r="C655" t="s">
        <v>93</v>
      </c>
      <c r="D655" t="s">
        <v>40</v>
      </c>
      <c r="E655" t="s">
        <v>41</v>
      </c>
      <c r="F655" t="str">
        <f>"0001279"</f>
        <v>0001279</v>
      </c>
      <c r="G655">
        <v>6</v>
      </c>
      <c r="H655" t="str">
        <f>"20496115440"</f>
        <v>20496115440</v>
      </c>
      <c r="I655" t="s">
        <v>86</v>
      </c>
      <c r="J655"/>
      <c r="K655">
        <v>12.71</v>
      </c>
      <c r="L655">
        <v>0.0</v>
      </c>
      <c r="M655"/>
      <c r="N655"/>
      <c r="O655">
        <v>2.29</v>
      </c>
      <c r="P655">
        <v>0.0</v>
      </c>
      <c r="Q655">
        <v>15.0</v>
      </c>
      <c r="R655"/>
      <c r="S655"/>
      <c r="T655"/>
      <c r="U655"/>
      <c r="V655"/>
      <c r="W655">
        <v>18</v>
      </c>
    </row>
    <row r="656" spans="1:23">
      <c r="A656"/>
      <c r="B656" t="s">
        <v>93</v>
      </c>
      <c r="C656" t="s">
        <v>93</v>
      </c>
      <c r="D656" t="s">
        <v>33</v>
      </c>
      <c r="E656" t="s">
        <v>34</v>
      </c>
      <c r="F656" t="str">
        <f>"0014290"</f>
        <v>0014290</v>
      </c>
      <c r="G656">
        <v>1</v>
      </c>
      <c r="H656" t="str">
        <f>"00000001"</f>
        <v>00000001</v>
      </c>
      <c r="I656" t="s">
        <v>35</v>
      </c>
      <c r="J656"/>
      <c r="K656">
        <v>15.25</v>
      </c>
      <c r="L656">
        <v>0.0</v>
      </c>
      <c r="M656"/>
      <c r="N656"/>
      <c r="O656">
        <v>2.75</v>
      </c>
      <c r="P656">
        <v>0.0</v>
      </c>
      <c r="Q656">
        <v>18.0</v>
      </c>
      <c r="R656"/>
      <c r="S656"/>
      <c r="T656"/>
      <c r="U656"/>
      <c r="V656"/>
      <c r="W656">
        <v>18</v>
      </c>
    </row>
    <row r="657" spans="1:23">
      <c r="A657"/>
      <c r="B657" t="s">
        <v>93</v>
      </c>
      <c r="C657" t="s">
        <v>93</v>
      </c>
      <c r="D657" t="s">
        <v>33</v>
      </c>
      <c r="E657" t="s">
        <v>34</v>
      </c>
      <c r="F657" t="str">
        <f>"0014291"</f>
        <v>0014291</v>
      </c>
      <c r="G657">
        <v>1</v>
      </c>
      <c r="H657" t="str">
        <f>"00000001"</f>
        <v>00000001</v>
      </c>
      <c r="I657" t="s">
        <v>35</v>
      </c>
      <c r="J657"/>
      <c r="K657">
        <v>2.97</v>
      </c>
      <c r="L657">
        <v>0.0</v>
      </c>
      <c r="M657"/>
      <c r="N657"/>
      <c r="O657">
        <v>0.53</v>
      </c>
      <c r="P657">
        <v>0.0</v>
      </c>
      <c r="Q657">
        <v>3.5</v>
      </c>
      <c r="R657"/>
      <c r="S657"/>
      <c r="T657"/>
      <c r="U657"/>
      <c r="V657"/>
      <c r="W657">
        <v>18</v>
      </c>
    </row>
    <row r="658" spans="1:23">
      <c r="A658"/>
      <c r="B658" t="s">
        <v>93</v>
      </c>
      <c r="C658" t="s">
        <v>93</v>
      </c>
      <c r="D658" t="s">
        <v>33</v>
      </c>
      <c r="E658" t="s">
        <v>34</v>
      </c>
      <c r="F658" t="str">
        <f>"0014292"</f>
        <v>0014292</v>
      </c>
      <c r="G658">
        <v>1</v>
      </c>
      <c r="H658" t="str">
        <f>"00000001"</f>
        <v>00000001</v>
      </c>
      <c r="I658" t="s">
        <v>35</v>
      </c>
      <c r="J658"/>
      <c r="K658">
        <v>1.69</v>
      </c>
      <c r="L658">
        <v>0.0</v>
      </c>
      <c r="M658"/>
      <c r="N658"/>
      <c r="O658">
        <v>0.31</v>
      </c>
      <c r="P658">
        <v>0.0</v>
      </c>
      <c r="Q658">
        <v>2.0</v>
      </c>
      <c r="R658"/>
      <c r="S658"/>
      <c r="T658"/>
      <c r="U658"/>
      <c r="V658"/>
      <c r="W658">
        <v>18</v>
      </c>
    </row>
    <row r="659" spans="1:23">
      <c r="A659"/>
      <c r="B659" t="s">
        <v>93</v>
      </c>
      <c r="C659" t="s">
        <v>93</v>
      </c>
      <c r="D659" t="s">
        <v>33</v>
      </c>
      <c r="E659" t="s">
        <v>34</v>
      </c>
      <c r="F659" t="str">
        <f>"0014293"</f>
        <v>0014293</v>
      </c>
      <c r="G659">
        <v>1</v>
      </c>
      <c r="H659" t="str">
        <f>"00000001"</f>
        <v>00000001</v>
      </c>
      <c r="I659" t="s">
        <v>35</v>
      </c>
      <c r="J659"/>
      <c r="K659">
        <v>25.42</v>
      </c>
      <c r="L659">
        <v>0.0</v>
      </c>
      <c r="M659"/>
      <c r="N659"/>
      <c r="O659">
        <v>4.58</v>
      </c>
      <c r="P659">
        <v>0.0</v>
      </c>
      <c r="Q659">
        <v>30.0</v>
      </c>
      <c r="R659"/>
      <c r="S659"/>
      <c r="T659"/>
      <c r="U659"/>
      <c r="V659"/>
      <c r="W659">
        <v>18</v>
      </c>
    </row>
    <row r="660" spans="1:23">
      <c r="A660"/>
      <c r="B660" t="s">
        <v>93</v>
      </c>
      <c r="C660" t="s">
        <v>93</v>
      </c>
      <c r="D660" t="s">
        <v>33</v>
      </c>
      <c r="E660" t="s">
        <v>34</v>
      </c>
      <c r="F660" t="str">
        <f>"0014294"</f>
        <v>0014294</v>
      </c>
      <c r="G660">
        <v>1</v>
      </c>
      <c r="H660" t="str">
        <f>"00000001"</f>
        <v>00000001</v>
      </c>
      <c r="I660" t="s">
        <v>35</v>
      </c>
      <c r="J660"/>
      <c r="K660">
        <v>8.47</v>
      </c>
      <c r="L660">
        <v>0.0</v>
      </c>
      <c r="M660"/>
      <c r="N660"/>
      <c r="O660">
        <v>1.53</v>
      </c>
      <c r="P660">
        <v>0.0</v>
      </c>
      <c r="Q660">
        <v>10.0</v>
      </c>
      <c r="R660"/>
      <c r="S660"/>
      <c r="T660"/>
      <c r="U660"/>
      <c r="V660"/>
      <c r="W660">
        <v>18</v>
      </c>
    </row>
    <row r="661" spans="1:23">
      <c r="A661"/>
      <c r="B661" t="s">
        <v>93</v>
      </c>
      <c r="C661" t="s">
        <v>93</v>
      </c>
      <c r="D661" t="s">
        <v>33</v>
      </c>
      <c r="E661" t="s">
        <v>34</v>
      </c>
      <c r="F661" t="str">
        <f>"0014295"</f>
        <v>0014295</v>
      </c>
      <c r="G661">
        <v>1</v>
      </c>
      <c r="H661" t="str">
        <f>"00000001"</f>
        <v>00000001</v>
      </c>
      <c r="I661" t="s">
        <v>35</v>
      </c>
      <c r="J661"/>
      <c r="K661">
        <v>4.24</v>
      </c>
      <c r="L661">
        <v>0.0</v>
      </c>
      <c r="M661"/>
      <c r="N661"/>
      <c r="O661">
        <v>0.76</v>
      </c>
      <c r="P661">
        <v>0.0</v>
      </c>
      <c r="Q661">
        <v>5.0</v>
      </c>
      <c r="R661"/>
      <c r="S661"/>
      <c r="T661"/>
      <c r="U661"/>
      <c r="V661"/>
      <c r="W661">
        <v>18</v>
      </c>
    </row>
    <row r="662" spans="1:23">
      <c r="A662"/>
      <c r="B662" t="s">
        <v>93</v>
      </c>
      <c r="C662" t="s">
        <v>93</v>
      </c>
      <c r="D662" t="s">
        <v>33</v>
      </c>
      <c r="E662" t="s">
        <v>34</v>
      </c>
      <c r="F662" t="str">
        <f>"0014296"</f>
        <v>0014296</v>
      </c>
      <c r="G662">
        <v>1</v>
      </c>
      <c r="H662" t="str">
        <f>"00000001"</f>
        <v>00000001</v>
      </c>
      <c r="I662" t="s">
        <v>35</v>
      </c>
      <c r="J662"/>
      <c r="K662">
        <v>8.47</v>
      </c>
      <c r="L662">
        <v>0.0</v>
      </c>
      <c r="M662"/>
      <c r="N662"/>
      <c r="O662">
        <v>1.53</v>
      </c>
      <c r="P662">
        <v>0.0</v>
      </c>
      <c r="Q662">
        <v>10.0</v>
      </c>
      <c r="R662"/>
      <c r="S662"/>
      <c r="T662"/>
      <c r="U662"/>
      <c r="V662"/>
      <c r="W662">
        <v>18</v>
      </c>
    </row>
    <row r="663" spans="1:23">
      <c r="A663"/>
      <c r="B663" t="s">
        <v>93</v>
      </c>
      <c r="C663" t="s">
        <v>93</v>
      </c>
      <c r="D663" t="s">
        <v>33</v>
      </c>
      <c r="E663" t="s">
        <v>34</v>
      </c>
      <c r="F663" t="str">
        <f>"0014297"</f>
        <v>0014297</v>
      </c>
      <c r="G663">
        <v>1</v>
      </c>
      <c r="H663" t="str">
        <f>"00000001"</f>
        <v>00000001</v>
      </c>
      <c r="I663" t="s">
        <v>35</v>
      </c>
      <c r="J663"/>
      <c r="K663">
        <v>6.78</v>
      </c>
      <c r="L663">
        <v>0.0</v>
      </c>
      <c r="M663"/>
      <c r="N663"/>
      <c r="O663">
        <v>1.22</v>
      </c>
      <c r="P663">
        <v>0.0</v>
      </c>
      <c r="Q663">
        <v>8.0</v>
      </c>
      <c r="R663"/>
      <c r="S663"/>
      <c r="T663"/>
      <c r="U663"/>
      <c r="V663"/>
      <c r="W663">
        <v>18</v>
      </c>
    </row>
    <row r="664" spans="1:23">
      <c r="A664"/>
      <c r="B664" t="s">
        <v>93</v>
      </c>
      <c r="C664" t="s">
        <v>93</v>
      </c>
      <c r="D664" t="s">
        <v>33</v>
      </c>
      <c r="E664" t="s">
        <v>34</v>
      </c>
      <c r="F664" t="str">
        <f>"0014298"</f>
        <v>0014298</v>
      </c>
      <c r="G664">
        <v>1</v>
      </c>
      <c r="H664" t="str">
        <f>"00000001"</f>
        <v>00000001</v>
      </c>
      <c r="I664" t="s">
        <v>35</v>
      </c>
      <c r="J664"/>
      <c r="K664">
        <v>8.47</v>
      </c>
      <c r="L664">
        <v>0.0</v>
      </c>
      <c r="M664"/>
      <c r="N664"/>
      <c r="O664">
        <v>1.53</v>
      </c>
      <c r="P664">
        <v>0.0</v>
      </c>
      <c r="Q664">
        <v>10.0</v>
      </c>
      <c r="R664"/>
      <c r="S664"/>
      <c r="T664"/>
      <c r="U664"/>
      <c r="V664"/>
      <c r="W664">
        <v>18</v>
      </c>
    </row>
    <row r="665" spans="1:23">
      <c r="A665"/>
      <c r="B665" t="s">
        <v>93</v>
      </c>
      <c r="C665" t="s">
        <v>93</v>
      </c>
      <c r="D665" t="s">
        <v>33</v>
      </c>
      <c r="E665" t="s">
        <v>34</v>
      </c>
      <c r="F665" t="str">
        <f>"0014299"</f>
        <v>0014299</v>
      </c>
      <c r="G665">
        <v>1</v>
      </c>
      <c r="H665" t="str">
        <f>"00000001"</f>
        <v>00000001</v>
      </c>
      <c r="I665" t="s">
        <v>35</v>
      </c>
      <c r="J665"/>
      <c r="K665">
        <v>4.24</v>
      </c>
      <c r="L665">
        <v>0.0</v>
      </c>
      <c r="M665"/>
      <c r="N665"/>
      <c r="O665">
        <v>0.76</v>
      </c>
      <c r="P665">
        <v>0.0</v>
      </c>
      <c r="Q665">
        <v>5.0</v>
      </c>
      <c r="R665"/>
      <c r="S665"/>
      <c r="T665"/>
      <c r="U665"/>
      <c r="V665"/>
      <c r="W665">
        <v>18</v>
      </c>
    </row>
    <row r="666" spans="1:23">
      <c r="A666"/>
      <c r="B666" t="s">
        <v>93</v>
      </c>
      <c r="C666" t="s">
        <v>93</v>
      </c>
      <c r="D666" t="s">
        <v>33</v>
      </c>
      <c r="E666" t="s">
        <v>34</v>
      </c>
      <c r="F666" t="str">
        <f>"0014300"</f>
        <v>0014300</v>
      </c>
      <c r="G666">
        <v>1</v>
      </c>
      <c r="H666" t="str">
        <f>"00000001"</f>
        <v>00000001</v>
      </c>
      <c r="I666" t="s">
        <v>35</v>
      </c>
      <c r="J666"/>
      <c r="K666">
        <v>25.42</v>
      </c>
      <c r="L666">
        <v>0.0</v>
      </c>
      <c r="M666"/>
      <c r="N666"/>
      <c r="O666">
        <v>4.58</v>
      </c>
      <c r="P666">
        <v>0.0</v>
      </c>
      <c r="Q666">
        <v>30.0</v>
      </c>
      <c r="R666"/>
      <c r="S666"/>
      <c r="T666"/>
      <c r="U666"/>
      <c r="V666"/>
      <c r="W666">
        <v>18</v>
      </c>
    </row>
    <row r="667" spans="1:23">
      <c r="A667"/>
      <c r="B667" t="s">
        <v>93</v>
      </c>
      <c r="C667" t="s">
        <v>93</v>
      </c>
      <c r="D667" t="s">
        <v>33</v>
      </c>
      <c r="E667" t="s">
        <v>34</v>
      </c>
      <c r="F667" t="str">
        <f>"0014301"</f>
        <v>0014301</v>
      </c>
      <c r="G667">
        <v>1</v>
      </c>
      <c r="H667" t="str">
        <f>"00000001"</f>
        <v>00000001</v>
      </c>
      <c r="I667" t="s">
        <v>35</v>
      </c>
      <c r="J667"/>
      <c r="K667">
        <v>2.97</v>
      </c>
      <c r="L667">
        <v>0.0</v>
      </c>
      <c r="M667"/>
      <c r="N667"/>
      <c r="O667">
        <v>0.53</v>
      </c>
      <c r="P667">
        <v>0.0</v>
      </c>
      <c r="Q667">
        <v>3.5</v>
      </c>
      <c r="R667"/>
      <c r="S667"/>
      <c r="T667"/>
      <c r="U667"/>
      <c r="V667"/>
      <c r="W667">
        <v>18</v>
      </c>
    </row>
    <row r="668" spans="1:23">
      <c r="A668"/>
      <c r="B668" t="s">
        <v>93</v>
      </c>
      <c r="C668" t="s">
        <v>93</v>
      </c>
      <c r="D668" t="s">
        <v>33</v>
      </c>
      <c r="E668" t="s">
        <v>34</v>
      </c>
      <c r="F668" t="str">
        <f>"0014302"</f>
        <v>0014302</v>
      </c>
      <c r="G668">
        <v>1</v>
      </c>
      <c r="H668" t="str">
        <f>"00000001"</f>
        <v>00000001</v>
      </c>
      <c r="I668" t="s">
        <v>35</v>
      </c>
      <c r="J668"/>
      <c r="K668">
        <v>23.73</v>
      </c>
      <c r="L668">
        <v>0.0</v>
      </c>
      <c r="M668"/>
      <c r="N668"/>
      <c r="O668">
        <v>4.27</v>
      </c>
      <c r="P668">
        <v>0.0</v>
      </c>
      <c r="Q668">
        <v>28.0</v>
      </c>
      <c r="R668"/>
      <c r="S668"/>
      <c r="T668"/>
      <c r="U668"/>
      <c r="V668"/>
      <c r="W668">
        <v>18</v>
      </c>
    </row>
    <row r="669" spans="1:23">
      <c r="A669"/>
      <c r="B669" t="s">
        <v>93</v>
      </c>
      <c r="C669" t="s">
        <v>93</v>
      </c>
      <c r="D669" t="s">
        <v>33</v>
      </c>
      <c r="E669" t="s">
        <v>34</v>
      </c>
      <c r="F669" t="str">
        <f>"0014303"</f>
        <v>0014303</v>
      </c>
      <c r="G669">
        <v>1</v>
      </c>
      <c r="H669" t="str">
        <f>"00000001"</f>
        <v>00000001</v>
      </c>
      <c r="I669" t="s">
        <v>35</v>
      </c>
      <c r="J669"/>
      <c r="K669">
        <v>5.08</v>
      </c>
      <c r="L669">
        <v>0.0</v>
      </c>
      <c r="M669"/>
      <c r="N669"/>
      <c r="O669">
        <v>0.92</v>
      </c>
      <c r="P669">
        <v>0.0</v>
      </c>
      <c r="Q669">
        <v>6.0</v>
      </c>
      <c r="R669"/>
      <c r="S669"/>
      <c r="T669"/>
      <c r="U669"/>
      <c r="V669"/>
      <c r="W669">
        <v>18</v>
      </c>
    </row>
    <row r="670" spans="1:23">
      <c r="A670"/>
      <c r="B670" t="s">
        <v>93</v>
      </c>
      <c r="C670" t="s">
        <v>93</v>
      </c>
      <c r="D670" t="s">
        <v>33</v>
      </c>
      <c r="E670" t="s">
        <v>34</v>
      </c>
      <c r="F670" t="str">
        <f>"0014304"</f>
        <v>0014304</v>
      </c>
      <c r="G670">
        <v>1</v>
      </c>
      <c r="H670" t="str">
        <f>"00000001"</f>
        <v>00000001</v>
      </c>
      <c r="I670" t="s">
        <v>35</v>
      </c>
      <c r="J670"/>
      <c r="K670">
        <v>5.08</v>
      </c>
      <c r="L670">
        <v>0.0</v>
      </c>
      <c r="M670"/>
      <c r="N670"/>
      <c r="O670">
        <v>0.92</v>
      </c>
      <c r="P670">
        <v>0.0</v>
      </c>
      <c r="Q670">
        <v>6.0</v>
      </c>
      <c r="R670"/>
      <c r="S670"/>
      <c r="T670"/>
      <c r="U670"/>
      <c r="V670"/>
      <c r="W670">
        <v>18</v>
      </c>
    </row>
    <row r="671" spans="1:23">
      <c r="A671"/>
      <c r="B671" t="s">
        <v>93</v>
      </c>
      <c r="C671" t="s">
        <v>93</v>
      </c>
      <c r="D671" t="s">
        <v>33</v>
      </c>
      <c r="E671" t="s">
        <v>34</v>
      </c>
      <c r="F671" t="str">
        <f>"0014305"</f>
        <v>0014305</v>
      </c>
      <c r="G671">
        <v>1</v>
      </c>
      <c r="H671" t="str">
        <f>"00000390"</f>
        <v>00000390</v>
      </c>
      <c r="I671" t="s">
        <v>37</v>
      </c>
      <c r="J671"/>
      <c r="K671">
        <v>14.41</v>
      </c>
      <c r="L671">
        <v>0.0</v>
      </c>
      <c r="M671"/>
      <c r="N671"/>
      <c r="O671">
        <v>2.59</v>
      </c>
      <c r="P671">
        <v>0.0</v>
      </c>
      <c r="Q671">
        <v>17.0</v>
      </c>
      <c r="R671"/>
      <c r="S671"/>
      <c r="T671"/>
      <c r="U671"/>
      <c r="V671"/>
      <c r="W671">
        <v>18</v>
      </c>
    </row>
    <row r="672" spans="1:23">
      <c r="A672"/>
      <c r="B672" t="s">
        <v>93</v>
      </c>
      <c r="C672" t="s">
        <v>93</v>
      </c>
      <c r="D672" t="s">
        <v>33</v>
      </c>
      <c r="E672" t="s">
        <v>34</v>
      </c>
      <c r="F672" t="str">
        <f>"0014306"</f>
        <v>0014306</v>
      </c>
      <c r="G672">
        <v>1</v>
      </c>
      <c r="H672" t="str">
        <f>"00000001"</f>
        <v>00000001</v>
      </c>
      <c r="I672" t="s">
        <v>35</v>
      </c>
      <c r="J672"/>
      <c r="K672">
        <v>6.78</v>
      </c>
      <c r="L672">
        <v>0.0</v>
      </c>
      <c r="M672"/>
      <c r="N672"/>
      <c r="O672">
        <v>1.22</v>
      </c>
      <c r="P672">
        <v>0.0</v>
      </c>
      <c r="Q672">
        <v>8.0</v>
      </c>
      <c r="R672"/>
      <c r="S672"/>
      <c r="T672"/>
      <c r="U672"/>
      <c r="V672"/>
      <c r="W672">
        <v>18</v>
      </c>
    </row>
    <row r="673" spans="1:23">
      <c r="A673"/>
      <c r="B673" t="s">
        <v>93</v>
      </c>
      <c r="C673" t="s">
        <v>93</v>
      </c>
      <c r="D673" t="s">
        <v>33</v>
      </c>
      <c r="E673" t="s">
        <v>34</v>
      </c>
      <c r="F673" t="str">
        <f>"0014307"</f>
        <v>0014307</v>
      </c>
      <c r="G673">
        <v>1</v>
      </c>
      <c r="H673" t="str">
        <f>"00000001"</f>
        <v>00000001</v>
      </c>
      <c r="I673" t="s">
        <v>35</v>
      </c>
      <c r="J673"/>
      <c r="K673">
        <v>8.47</v>
      </c>
      <c r="L673">
        <v>0.0</v>
      </c>
      <c r="M673"/>
      <c r="N673"/>
      <c r="O673">
        <v>1.53</v>
      </c>
      <c r="P673">
        <v>0.0</v>
      </c>
      <c r="Q673">
        <v>10.0</v>
      </c>
      <c r="R673"/>
      <c r="S673"/>
      <c r="T673"/>
      <c r="U673"/>
      <c r="V673"/>
      <c r="W673">
        <v>18</v>
      </c>
    </row>
    <row r="674" spans="1:23">
      <c r="A674"/>
      <c r="B674" t="s">
        <v>93</v>
      </c>
      <c r="C674" t="s">
        <v>93</v>
      </c>
      <c r="D674" t="s">
        <v>33</v>
      </c>
      <c r="E674" t="s">
        <v>34</v>
      </c>
      <c r="F674" t="str">
        <f>"0014308"</f>
        <v>0014308</v>
      </c>
      <c r="G674">
        <v>1</v>
      </c>
      <c r="H674" t="str">
        <f>"00IENSDL"</f>
        <v>00IENSDL</v>
      </c>
      <c r="I674" t="s">
        <v>94</v>
      </c>
      <c r="J674"/>
      <c r="K674">
        <v>12.71</v>
      </c>
      <c r="L674">
        <v>0.0</v>
      </c>
      <c r="M674"/>
      <c r="N674"/>
      <c r="O674">
        <v>2.29</v>
      </c>
      <c r="P674">
        <v>0.0</v>
      </c>
      <c r="Q674">
        <v>15.0</v>
      </c>
      <c r="R674"/>
      <c r="S674"/>
      <c r="T674"/>
      <c r="U674"/>
      <c r="V674"/>
      <c r="W674">
        <v>18</v>
      </c>
    </row>
    <row r="675" spans="1:23">
      <c r="A675"/>
      <c r="B675" t="s">
        <v>93</v>
      </c>
      <c r="C675" t="s">
        <v>93</v>
      </c>
      <c r="D675" t="s">
        <v>33</v>
      </c>
      <c r="E675" t="s">
        <v>34</v>
      </c>
      <c r="F675" t="str">
        <f>"0014309"</f>
        <v>0014309</v>
      </c>
      <c r="G675">
        <v>1</v>
      </c>
      <c r="H675" t="str">
        <f>"00IENSDL"</f>
        <v>00IENSDL</v>
      </c>
      <c r="I675" t="s">
        <v>94</v>
      </c>
      <c r="J675"/>
      <c r="K675">
        <v>0.85</v>
      </c>
      <c r="L675">
        <v>0.0</v>
      </c>
      <c r="M675"/>
      <c r="N675"/>
      <c r="O675">
        <v>0.15</v>
      </c>
      <c r="P675">
        <v>0.0</v>
      </c>
      <c r="Q675">
        <v>1.0</v>
      </c>
      <c r="R675"/>
      <c r="S675"/>
      <c r="T675"/>
      <c r="U675"/>
      <c r="V675"/>
      <c r="W675">
        <v>18</v>
      </c>
    </row>
    <row r="676" spans="1:23">
      <c r="A676"/>
      <c r="B676" t="s">
        <v>93</v>
      </c>
      <c r="C676" t="s">
        <v>93</v>
      </c>
      <c r="D676" t="s">
        <v>33</v>
      </c>
      <c r="E676" t="s">
        <v>34</v>
      </c>
      <c r="F676" t="str">
        <f>"0014310"</f>
        <v>0014310</v>
      </c>
      <c r="G676">
        <v>1</v>
      </c>
      <c r="H676" t="str">
        <f>"00000001"</f>
        <v>00000001</v>
      </c>
      <c r="I676" t="s">
        <v>35</v>
      </c>
      <c r="J676"/>
      <c r="K676">
        <v>39.83</v>
      </c>
      <c r="L676">
        <v>0.0</v>
      </c>
      <c r="M676"/>
      <c r="N676"/>
      <c r="O676">
        <v>7.17</v>
      </c>
      <c r="P676">
        <v>0.0</v>
      </c>
      <c r="Q676">
        <v>47.0</v>
      </c>
      <c r="R676"/>
      <c r="S676"/>
      <c r="T676"/>
      <c r="U676"/>
      <c r="V676"/>
      <c r="W676">
        <v>18</v>
      </c>
    </row>
    <row r="677" spans="1:23">
      <c r="A677"/>
      <c r="B677" t="s">
        <v>93</v>
      </c>
      <c r="C677" t="s">
        <v>93</v>
      </c>
      <c r="D677" t="s">
        <v>33</v>
      </c>
      <c r="E677" t="s">
        <v>34</v>
      </c>
      <c r="F677" t="str">
        <f>"0014311"</f>
        <v>0014311</v>
      </c>
      <c r="G677">
        <v>1</v>
      </c>
      <c r="H677" t="str">
        <f>"00000001"</f>
        <v>00000001</v>
      </c>
      <c r="I677" t="s">
        <v>35</v>
      </c>
      <c r="J677"/>
      <c r="K677">
        <v>8.47</v>
      </c>
      <c r="L677">
        <v>0.0</v>
      </c>
      <c r="M677"/>
      <c r="N677"/>
      <c r="O677">
        <v>1.53</v>
      </c>
      <c r="P677">
        <v>0.0</v>
      </c>
      <c r="Q677">
        <v>10.0</v>
      </c>
      <c r="R677"/>
      <c r="S677"/>
      <c r="T677"/>
      <c r="U677"/>
      <c r="V677"/>
      <c r="W677">
        <v>18</v>
      </c>
    </row>
    <row r="678" spans="1:23">
      <c r="A678"/>
      <c r="B678" t="s">
        <v>93</v>
      </c>
      <c r="C678" t="s">
        <v>93</v>
      </c>
      <c r="D678" t="s">
        <v>33</v>
      </c>
      <c r="E678" t="s">
        <v>34</v>
      </c>
      <c r="F678" t="str">
        <f>"0014312"</f>
        <v>0014312</v>
      </c>
      <c r="G678">
        <v>1</v>
      </c>
      <c r="H678" t="str">
        <f>"00000001"</f>
        <v>00000001</v>
      </c>
      <c r="I678" t="s">
        <v>35</v>
      </c>
      <c r="J678"/>
      <c r="K678">
        <v>1.69</v>
      </c>
      <c r="L678">
        <v>0.0</v>
      </c>
      <c r="M678"/>
      <c r="N678"/>
      <c r="O678">
        <v>0.31</v>
      </c>
      <c r="P678">
        <v>0.0</v>
      </c>
      <c r="Q678">
        <v>2.0</v>
      </c>
      <c r="R678"/>
      <c r="S678"/>
      <c r="T678"/>
      <c r="U678"/>
      <c r="V678"/>
      <c r="W678">
        <v>18</v>
      </c>
    </row>
    <row r="679" spans="1:23">
      <c r="A679"/>
      <c r="B679" t="s">
        <v>93</v>
      </c>
      <c r="C679" t="s">
        <v>93</v>
      </c>
      <c r="D679" t="s">
        <v>33</v>
      </c>
      <c r="E679" t="s">
        <v>34</v>
      </c>
      <c r="F679" t="str">
        <f>"0014313"</f>
        <v>0014313</v>
      </c>
      <c r="G679">
        <v>1</v>
      </c>
      <c r="H679" t="str">
        <f>"000iensl"</f>
        <v>000iensl</v>
      </c>
      <c r="I679" t="s">
        <v>95</v>
      </c>
      <c r="J679"/>
      <c r="K679">
        <v>25.42</v>
      </c>
      <c r="L679">
        <v>0.0</v>
      </c>
      <c r="M679"/>
      <c r="N679"/>
      <c r="O679">
        <v>4.58</v>
      </c>
      <c r="P679">
        <v>0.0</v>
      </c>
      <c r="Q679">
        <v>30.0</v>
      </c>
      <c r="R679"/>
      <c r="S679"/>
      <c r="T679"/>
      <c r="U679"/>
      <c r="V679"/>
      <c r="W679">
        <v>18</v>
      </c>
    </row>
    <row r="680" spans="1:23">
      <c r="A680"/>
      <c r="B680" t="s">
        <v>93</v>
      </c>
      <c r="C680" t="s">
        <v>93</v>
      </c>
      <c r="D680" t="s">
        <v>33</v>
      </c>
      <c r="E680" t="s">
        <v>34</v>
      </c>
      <c r="F680" t="str">
        <f>"0014314"</f>
        <v>0014314</v>
      </c>
      <c r="G680">
        <v>1</v>
      </c>
      <c r="H680" t="str">
        <f>"00000001"</f>
        <v>00000001</v>
      </c>
      <c r="I680" t="s">
        <v>35</v>
      </c>
      <c r="J680"/>
      <c r="K680">
        <v>66.1</v>
      </c>
      <c r="L680">
        <v>0.0</v>
      </c>
      <c r="M680"/>
      <c r="N680"/>
      <c r="O680">
        <v>11.9</v>
      </c>
      <c r="P680">
        <v>0.0</v>
      </c>
      <c r="Q680">
        <v>78.0</v>
      </c>
      <c r="R680"/>
      <c r="S680"/>
      <c r="T680"/>
      <c r="U680"/>
      <c r="V680"/>
      <c r="W680">
        <v>18</v>
      </c>
    </row>
    <row r="681" spans="1:23">
      <c r="A681"/>
      <c r="B681" t="s">
        <v>93</v>
      </c>
      <c r="C681" t="s">
        <v>93</v>
      </c>
      <c r="D681" t="s">
        <v>33</v>
      </c>
      <c r="E681" t="s">
        <v>34</v>
      </c>
      <c r="F681" t="str">
        <f>"0014315"</f>
        <v>0014315</v>
      </c>
      <c r="G681">
        <v>1</v>
      </c>
      <c r="H681" t="str">
        <f>"00000001"</f>
        <v>00000001</v>
      </c>
      <c r="I681" t="s">
        <v>35</v>
      </c>
      <c r="J681"/>
      <c r="K681">
        <v>22.03</v>
      </c>
      <c r="L681">
        <v>0.0</v>
      </c>
      <c r="M681"/>
      <c r="N681"/>
      <c r="O681">
        <v>3.97</v>
      </c>
      <c r="P681">
        <v>0.0</v>
      </c>
      <c r="Q681">
        <v>26.0</v>
      </c>
      <c r="R681"/>
      <c r="S681"/>
      <c r="T681"/>
      <c r="U681"/>
      <c r="V681"/>
      <c r="W681">
        <v>18</v>
      </c>
    </row>
    <row r="682" spans="1:23">
      <c r="A682"/>
      <c r="B682" t="s">
        <v>93</v>
      </c>
      <c r="C682" t="s">
        <v>93</v>
      </c>
      <c r="D682" t="s">
        <v>33</v>
      </c>
      <c r="E682" t="s">
        <v>34</v>
      </c>
      <c r="F682" t="str">
        <f>"0014316"</f>
        <v>0014316</v>
      </c>
      <c r="G682">
        <v>1</v>
      </c>
      <c r="H682" t="str">
        <f>"00000001"</f>
        <v>00000001</v>
      </c>
      <c r="I682" t="s">
        <v>35</v>
      </c>
      <c r="J682"/>
      <c r="K682">
        <v>10.59</v>
      </c>
      <c r="L682">
        <v>0.0</v>
      </c>
      <c r="M682"/>
      <c r="N682"/>
      <c r="O682">
        <v>1.91</v>
      </c>
      <c r="P682">
        <v>0.0</v>
      </c>
      <c r="Q682">
        <v>12.5</v>
      </c>
      <c r="R682"/>
      <c r="S682"/>
      <c r="T682"/>
      <c r="U682"/>
      <c r="V682"/>
      <c r="W682">
        <v>18</v>
      </c>
    </row>
    <row r="683" spans="1:23">
      <c r="A683"/>
      <c r="B683" t="s">
        <v>93</v>
      </c>
      <c r="C683" t="s">
        <v>93</v>
      </c>
      <c r="D683" t="s">
        <v>33</v>
      </c>
      <c r="E683" t="s">
        <v>34</v>
      </c>
      <c r="F683" t="str">
        <f>"0014317"</f>
        <v>0014317</v>
      </c>
      <c r="G683">
        <v>1</v>
      </c>
      <c r="H683" t="str">
        <f>"00000001"</f>
        <v>00000001</v>
      </c>
      <c r="I683" t="s">
        <v>35</v>
      </c>
      <c r="J683"/>
      <c r="K683">
        <v>6.78</v>
      </c>
      <c r="L683">
        <v>0.0</v>
      </c>
      <c r="M683"/>
      <c r="N683"/>
      <c r="O683">
        <v>1.22</v>
      </c>
      <c r="P683">
        <v>0.0</v>
      </c>
      <c r="Q683">
        <v>8.0</v>
      </c>
      <c r="R683"/>
      <c r="S683"/>
      <c r="T683"/>
      <c r="U683"/>
      <c r="V683"/>
      <c r="W683">
        <v>18</v>
      </c>
    </row>
    <row r="684" spans="1:23">
      <c r="A684"/>
      <c r="B684" t="s">
        <v>93</v>
      </c>
      <c r="C684" t="s">
        <v>93</v>
      </c>
      <c r="D684" t="s">
        <v>33</v>
      </c>
      <c r="E684" t="s">
        <v>34</v>
      </c>
      <c r="F684" t="str">
        <f>"0014318"</f>
        <v>0014318</v>
      </c>
      <c r="G684">
        <v>1</v>
      </c>
      <c r="H684" t="str">
        <f>"00000001"</f>
        <v>00000001</v>
      </c>
      <c r="I684" t="s">
        <v>35</v>
      </c>
      <c r="J684"/>
      <c r="K684">
        <v>23.73</v>
      </c>
      <c r="L684">
        <v>0.0</v>
      </c>
      <c r="M684"/>
      <c r="N684"/>
      <c r="O684">
        <v>4.27</v>
      </c>
      <c r="P684">
        <v>0.0</v>
      </c>
      <c r="Q684">
        <v>28.0</v>
      </c>
      <c r="R684"/>
      <c r="S684"/>
      <c r="T684"/>
      <c r="U684"/>
      <c r="V684"/>
      <c r="W684">
        <v>18</v>
      </c>
    </row>
    <row r="685" spans="1:23">
      <c r="A685"/>
      <c r="B685" t="s">
        <v>93</v>
      </c>
      <c r="C685" t="s">
        <v>93</v>
      </c>
      <c r="D685" t="s">
        <v>33</v>
      </c>
      <c r="E685" t="s">
        <v>34</v>
      </c>
      <c r="F685" t="str">
        <f>"0014319"</f>
        <v>0014319</v>
      </c>
      <c r="G685">
        <v>1</v>
      </c>
      <c r="H685" t="str">
        <f>"00000001"</f>
        <v>00000001</v>
      </c>
      <c r="I685" t="s">
        <v>35</v>
      </c>
      <c r="J685"/>
      <c r="K685">
        <v>4.24</v>
      </c>
      <c r="L685">
        <v>0.0</v>
      </c>
      <c r="M685"/>
      <c r="N685"/>
      <c r="O685">
        <v>0.76</v>
      </c>
      <c r="P685">
        <v>0.0</v>
      </c>
      <c r="Q685">
        <v>5.0</v>
      </c>
      <c r="R685"/>
      <c r="S685"/>
      <c r="T685"/>
      <c r="U685"/>
      <c r="V685"/>
      <c r="W685">
        <v>18</v>
      </c>
    </row>
    <row r="686" spans="1:23">
      <c r="A686"/>
      <c r="B686" t="s">
        <v>93</v>
      </c>
      <c r="C686" t="s">
        <v>93</v>
      </c>
      <c r="D686" t="s">
        <v>33</v>
      </c>
      <c r="E686" t="s">
        <v>34</v>
      </c>
      <c r="F686" t="str">
        <f>"0014320"</f>
        <v>0014320</v>
      </c>
      <c r="G686">
        <v>1</v>
      </c>
      <c r="H686" t="str">
        <f>"0000IENS"</f>
        <v>0000IENS</v>
      </c>
      <c r="I686" t="s">
        <v>96</v>
      </c>
      <c r="J686"/>
      <c r="K686">
        <v>16.95</v>
      </c>
      <c r="L686">
        <v>0.0</v>
      </c>
      <c r="M686"/>
      <c r="N686"/>
      <c r="O686">
        <v>3.05</v>
      </c>
      <c r="P686">
        <v>0.0</v>
      </c>
      <c r="Q686">
        <v>20.0</v>
      </c>
      <c r="R686"/>
      <c r="S686"/>
      <c r="T686"/>
      <c r="U686"/>
      <c r="V686"/>
      <c r="W686">
        <v>18</v>
      </c>
    </row>
    <row r="687" spans="1:23">
      <c r="A687"/>
      <c r="B687" t="s">
        <v>93</v>
      </c>
      <c r="C687" t="s">
        <v>93</v>
      </c>
      <c r="D687" t="s">
        <v>33</v>
      </c>
      <c r="E687" t="s">
        <v>34</v>
      </c>
      <c r="F687" t="str">
        <f>"0014321"</f>
        <v>0014321</v>
      </c>
      <c r="G687">
        <v>1</v>
      </c>
      <c r="H687" t="str">
        <f>"61328777"</f>
        <v>61328777</v>
      </c>
      <c r="I687" t="s">
        <v>97</v>
      </c>
      <c r="J687"/>
      <c r="K687">
        <v>13.56</v>
      </c>
      <c r="L687">
        <v>0.0</v>
      </c>
      <c r="M687"/>
      <c r="N687"/>
      <c r="O687">
        <v>2.44</v>
      </c>
      <c r="P687">
        <v>0.0</v>
      </c>
      <c r="Q687">
        <v>16.0</v>
      </c>
      <c r="R687"/>
      <c r="S687"/>
      <c r="T687"/>
      <c r="U687"/>
      <c r="V687"/>
      <c r="W687">
        <v>18</v>
      </c>
    </row>
    <row r="688" spans="1:23">
      <c r="A688"/>
      <c r="B688" t="s">
        <v>93</v>
      </c>
      <c r="C688" t="s">
        <v>93</v>
      </c>
      <c r="D688" t="s">
        <v>33</v>
      </c>
      <c r="E688" t="s">
        <v>34</v>
      </c>
      <c r="F688" t="str">
        <f>"0014322"</f>
        <v>0014322</v>
      </c>
      <c r="G688">
        <v>1</v>
      </c>
      <c r="H688" t="str">
        <f>"00000001"</f>
        <v>00000001</v>
      </c>
      <c r="I688" t="s">
        <v>35</v>
      </c>
      <c r="J688"/>
      <c r="K688">
        <v>16.95</v>
      </c>
      <c r="L688">
        <v>0.0</v>
      </c>
      <c r="M688"/>
      <c r="N688"/>
      <c r="O688">
        <v>3.05</v>
      </c>
      <c r="P688">
        <v>0.0</v>
      </c>
      <c r="Q688">
        <v>20.0</v>
      </c>
      <c r="R688"/>
      <c r="S688"/>
      <c r="T688"/>
      <c r="U688"/>
      <c r="V688"/>
      <c r="W688">
        <v>18</v>
      </c>
    </row>
    <row r="689" spans="1:23">
      <c r="A689"/>
      <c r="B689" t="s">
        <v>93</v>
      </c>
      <c r="C689" t="s">
        <v>93</v>
      </c>
      <c r="D689" t="s">
        <v>33</v>
      </c>
      <c r="E689" t="s">
        <v>34</v>
      </c>
      <c r="F689" t="str">
        <f>"0014323"</f>
        <v>0014323</v>
      </c>
      <c r="G689">
        <v>1</v>
      </c>
      <c r="H689" t="str">
        <f>"00000001"</f>
        <v>00000001</v>
      </c>
      <c r="I689" t="s">
        <v>35</v>
      </c>
      <c r="J689"/>
      <c r="K689">
        <v>38.14</v>
      </c>
      <c r="L689">
        <v>0.0</v>
      </c>
      <c r="M689"/>
      <c r="N689"/>
      <c r="O689">
        <v>6.86</v>
      </c>
      <c r="P689">
        <v>0.0</v>
      </c>
      <c r="Q689">
        <v>45.0</v>
      </c>
      <c r="R689"/>
      <c r="S689"/>
      <c r="T689"/>
      <c r="U689"/>
      <c r="V689"/>
      <c r="W689">
        <v>18</v>
      </c>
    </row>
    <row r="690" spans="1:23">
      <c r="A690"/>
      <c r="B690" t="s">
        <v>93</v>
      </c>
      <c r="C690" t="s">
        <v>93</v>
      </c>
      <c r="D690" t="s">
        <v>33</v>
      </c>
      <c r="E690" t="s">
        <v>34</v>
      </c>
      <c r="F690" t="str">
        <f>"0014324"</f>
        <v>0014324</v>
      </c>
      <c r="G690">
        <v>1</v>
      </c>
      <c r="H690" t="str">
        <f>"00000001"</f>
        <v>00000001</v>
      </c>
      <c r="I690" t="s">
        <v>35</v>
      </c>
      <c r="J690"/>
      <c r="K690">
        <v>33.9</v>
      </c>
      <c r="L690">
        <v>0.0</v>
      </c>
      <c r="M690"/>
      <c r="N690"/>
      <c r="O690">
        <v>6.1</v>
      </c>
      <c r="P690">
        <v>0.0</v>
      </c>
      <c r="Q690">
        <v>40.0</v>
      </c>
      <c r="R690"/>
      <c r="S690"/>
      <c r="T690"/>
      <c r="U690"/>
      <c r="V690"/>
      <c r="W690">
        <v>18</v>
      </c>
    </row>
    <row r="691" spans="1:23">
      <c r="A691"/>
      <c r="B691" t="s">
        <v>93</v>
      </c>
      <c r="C691" t="s">
        <v>93</v>
      </c>
      <c r="D691" t="s">
        <v>33</v>
      </c>
      <c r="E691" t="s">
        <v>34</v>
      </c>
      <c r="F691" t="str">
        <f>"0014325"</f>
        <v>0014325</v>
      </c>
      <c r="G691">
        <v>1</v>
      </c>
      <c r="H691" t="str">
        <f>"00000001"</f>
        <v>00000001</v>
      </c>
      <c r="I691" t="s">
        <v>35</v>
      </c>
      <c r="J691"/>
      <c r="K691">
        <v>12.71</v>
      </c>
      <c r="L691">
        <v>0.0</v>
      </c>
      <c r="M691"/>
      <c r="N691"/>
      <c r="O691">
        <v>2.29</v>
      </c>
      <c r="P691">
        <v>0.0</v>
      </c>
      <c r="Q691">
        <v>15.0</v>
      </c>
      <c r="R691"/>
      <c r="S691"/>
      <c r="T691"/>
      <c r="U691"/>
      <c r="V691"/>
      <c r="W691">
        <v>18</v>
      </c>
    </row>
    <row r="692" spans="1:23">
      <c r="A692"/>
      <c r="B692" t="s">
        <v>93</v>
      </c>
      <c r="C692" t="s">
        <v>93</v>
      </c>
      <c r="D692" t="s">
        <v>33</v>
      </c>
      <c r="E692" t="s">
        <v>34</v>
      </c>
      <c r="F692" t="str">
        <f>"0014326"</f>
        <v>0014326</v>
      </c>
      <c r="G692">
        <v>1</v>
      </c>
      <c r="H692" t="str">
        <f>"73138425"</f>
        <v>73138425</v>
      </c>
      <c r="I692" t="s">
        <v>67</v>
      </c>
      <c r="J692"/>
      <c r="K692">
        <v>19.92</v>
      </c>
      <c r="L692">
        <v>0.0</v>
      </c>
      <c r="M692"/>
      <c r="N692"/>
      <c r="O692">
        <v>3.58</v>
      </c>
      <c r="P692">
        <v>0.0</v>
      </c>
      <c r="Q692">
        <v>23.5</v>
      </c>
      <c r="R692"/>
      <c r="S692"/>
      <c r="T692"/>
      <c r="U692"/>
      <c r="V692"/>
      <c r="W692">
        <v>18</v>
      </c>
    </row>
    <row r="693" spans="1:23">
      <c r="A693"/>
      <c r="B693" t="s">
        <v>93</v>
      </c>
      <c r="C693" t="s">
        <v>93</v>
      </c>
      <c r="D693" t="s">
        <v>33</v>
      </c>
      <c r="E693" t="s">
        <v>34</v>
      </c>
      <c r="F693" t="str">
        <f>"0014327"</f>
        <v>0014327</v>
      </c>
      <c r="G693">
        <v>1</v>
      </c>
      <c r="H693" t="str">
        <f>"00000001"</f>
        <v>00000001</v>
      </c>
      <c r="I693" t="s">
        <v>35</v>
      </c>
      <c r="J693"/>
      <c r="K693">
        <v>33.9</v>
      </c>
      <c r="L693">
        <v>0.0</v>
      </c>
      <c r="M693"/>
      <c r="N693"/>
      <c r="O693">
        <v>6.1</v>
      </c>
      <c r="P693">
        <v>0.0</v>
      </c>
      <c r="Q693">
        <v>40.0</v>
      </c>
      <c r="R693"/>
      <c r="S693"/>
      <c r="T693"/>
      <c r="U693"/>
      <c r="V693"/>
      <c r="W693">
        <v>18</v>
      </c>
    </row>
    <row r="694" spans="1:23">
      <c r="A694"/>
      <c r="B694" t="s">
        <v>93</v>
      </c>
      <c r="C694" t="s">
        <v>93</v>
      </c>
      <c r="D694" t="s">
        <v>33</v>
      </c>
      <c r="E694" t="s">
        <v>34</v>
      </c>
      <c r="F694" t="str">
        <f>"0014328"</f>
        <v>0014328</v>
      </c>
      <c r="G694">
        <v>1</v>
      </c>
      <c r="H694" t="str">
        <f>"00000001"</f>
        <v>00000001</v>
      </c>
      <c r="I694" t="s">
        <v>35</v>
      </c>
      <c r="J694"/>
      <c r="K694">
        <v>14.41</v>
      </c>
      <c r="L694">
        <v>0.0</v>
      </c>
      <c r="M694"/>
      <c r="N694"/>
      <c r="O694">
        <v>2.59</v>
      </c>
      <c r="P694">
        <v>0.0</v>
      </c>
      <c r="Q694">
        <v>17.0</v>
      </c>
      <c r="R694"/>
      <c r="S694"/>
      <c r="T694"/>
      <c r="U694"/>
      <c r="V694"/>
      <c r="W694">
        <v>18</v>
      </c>
    </row>
    <row r="695" spans="1:23">
      <c r="A695"/>
      <c r="B695" t="s">
        <v>93</v>
      </c>
      <c r="C695" t="s">
        <v>93</v>
      </c>
      <c r="D695" t="s">
        <v>33</v>
      </c>
      <c r="E695" t="s">
        <v>34</v>
      </c>
      <c r="F695" t="str">
        <f>"0014329"</f>
        <v>0014329</v>
      </c>
      <c r="G695">
        <v>1</v>
      </c>
      <c r="H695" t="str">
        <f>"00000001"</f>
        <v>00000001</v>
      </c>
      <c r="I695" t="s">
        <v>35</v>
      </c>
      <c r="J695"/>
      <c r="K695">
        <v>40.68</v>
      </c>
      <c r="L695">
        <v>0.0</v>
      </c>
      <c r="M695"/>
      <c r="N695"/>
      <c r="O695">
        <v>7.32</v>
      </c>
      <c r="P695">
        <v>0.0</v>
      </c>
      <c r="Q695">
        <v>48.0</v>
      </c>
      <c r="R695"/>
      <c r="S695"/>
      <c r="T695"/>
      <c r="U695"/>
      <c r="V695"/>
      <c r="W695">
        <v>18</v>
      </c>
    </row>
    <row r="696" spans="1:23">
      <c r="A696"/>
      <c r="B696" t="s">
        <v>93</v>
      </c>
      <c r="C696" t="s">
        <v>93</v>
      </c>
      <c r="D696" t="s">
        <v>33</v>
      </c>
      <c r="E696" t="s">
        <v>34</v>
      </c>
      <c r="F696" t="str">
        <f>"0014330"</f>
        <v>0014330</v>
      </c>
      <c r="G696">
        <v>1</v>
      </c>
      <c r="H696" t="str">
        <f>"00000001"</f>
        <v>00000001</v>
      </c>
      <c r="I696" t="s">
        <v>35</v>
      </c>
      <c r="J696"/>
      <c r="K696">
        <v>10.17</v>
      </c>
      <c r="L696">
        <v>0.0</v>
      </c>
      <c r="M696"/>
      <c r="N696"/>
      <c r="O696">
        <v>1.83</v>
      </c>
      <c r="P696">
        <v>0.0</v>
      </c>
      <c r="Q696">
        <v>12.0</v>
      </c>
      <c r="R696"/>
      <c r="S696"/>
      <c r="T696"/>
      <c r="U696"/>
      <c r="V696"/>
      <c r="W696">
        <v>18</v>
      </c>
    </row>
    <row r="697" spans="1:23">
      <c r="A697"/>
      <c r="B697" t="s">
        <v>98</v>
      </c>
      <c r="C697" t="s">
        <v>98</v>
      </c>
      <c r="D697" t="s">
        <v>33</v>
      </c>
      <c r="E697" t="s">
        <v>34</v>
      </c>
      <c r="F697" t="str">
        <f>"0014331"</f>
        <v>0014331</v>
      </c>
      <c r="G697">
        <v>1</v>
      </c>
      <c r="H697" t="str">
        <f>"00000001"</f>
        <v>00000001</v>
      </c>
      <c r="I697" t="s">
        <v>35</v>
      </c>
      <c r="J697"/>
      <c r="K697">
        <v>8.47</v>
      </c>
      <c r="L697">
        <v>0.0</v>
      </c>
      <c r="M697"/>
      <c r="N697"/>
      <c r="O697">
        <v>1.53</v>
      </c>
      <c r="P697">
        <v>0.0</v>
      </c>
      <c r="Q697">
        <v>10.0</v>
      </c>
      <c r="R697"/>
      <c r="S697"/>
      <c r="T697"/>
      <c r="U697"/>
      <c r="V697"/>
      <c r="W697">
        <v>18</v>
      </c>
    </row>
    <row r="698" spans="1:23">
      <c r="A698"/>
      <c r="B698" t="s">
        <v>98</v>
      </c>
      <c r="C698" t="s">
        <v>98</v>
      </c>
      <c r="D698" t="s">
        <v>33</v>
      </c>
      <c r="E698" t="s">
        <v>34</v>
      </c>
      <c r="F698" t="str">
        <f>"0014332"</f>
        <v>0014332</v>
      </c>
      <c r="G698">
        <v>1</v>
      </c>
      <c r="H698" t="str">
        <f>"00000001"</f>
        <v>00000001</v>
      </c>
      <c r="I698" t="s">
        <v>35</v>
      </c>
      <c r="J698"/>
      <c r="K698">
        <v>2.12</v>
      </c>
      <c r="L698">
        <v>0.0</v>
      </c>
      <c r="M698"/>
      <c r="N698"/>
      <c r="O698">
        <v>0.38</v>
      </c>
      <c r="P698">
        <v>0.0</v>
      </c>
      <c r="Q698">
        <v>2.5</v>
      </c>
      <c r="R698"/>
      <c r="S698"/>
      <c r="T698"/>
      <c r="U698"/>
      <c r="V698"/>
      <c r="W698">
        <v>18</v>
      </c>
    </row>
    <row r="699" spans="1:23">
      <c r="A699"/>
      <c r="B699" t="s">
        <v>98</v>
      </c>
      <c r="C699" t="s">
        <v>98</v>
      </c>
      <c r="D699" t="s">
        <v>33</v>
      </c>
      <c r="E699" t="s">
        <v>34</v>
      </c>
      <c r="F699" t="str">
        <f>"0014333"</f>
        <v>0014333</v>
      </c>
      <c r="G699">
        <v>1</v>
      </c>
      <c r="H699" t="str">
        <f>"00000001"</f>
        <v>00000001</v>
      </c>
      <c r="I699" t="s">
        <v>35</v>
      </c>
      <c r="J699"/>
      <c r="K699">
        <v>4.24</v>
      </c>
      <c r="L699">
        <v>0.0</v>
      </c>
      <c r="M699"/>
      <c r="N699"/>
      <c r="O699">
        <v>0.76</v>
      </c>
      <c r="P699">
        <v>0.0</v>
      </c>
      <c r="Q699">
        <v>5.0</v>
      </c>
      <c r="R699"/>
      <c r="S699"/>
      <c r="T699"/>
      <c r="U699"/>
      <c r="V699"/>
      <c r="W699">
        <v>18</v>
      </c>
    </row>
    <row r="700" spans="1:23">
      <c r="A700"/>
      <c r="B700" t="s">
        <v>98</v>
      </c>
      <c r="C700" t="s">
        <v>98</v>
      </c>
      <c r="D700" t="s">
        <v>33</v>
      </c>
      <c r="E700" t="s">
        <v>34</v>
      </c>
      <c r="F700" t="str">
        <f>"0014334"</f>
        <v>0014334</v>
      </c>
      <c r="G700">
        <v>1</v>
      </c>
      <c r="H700" t="str">
        <f>"00000001"</f>
        <v>00000001</v>
      </c>
      <c r="I700" t="s">
        <v>35</v>
      </c>
      <c r="J700"/>
      <c r="K700">
        <v>21.19</v>
      </c>
      <c r="L700">
        <v>0.0</v>
      </c>
      <c r="M700"/>
      <c r="N700"/>
      <c r="O700">
        <v>3.81</v>
      </c>
      <c r="P700">
        <v>0.0</v>
      </c>
      <c r="Q700">
        <v>25.0</v>
      </c>
      <c r="R700"/>
      <c r="S700"/>
      <c r="T700"/>
      <c r="U700"/>
      <c r="V700"/>
      <c r="W700">
        <v>18</v>
      </c>
    </row>
    <row r="701" spans="1:23">
      <c r="A701"/>
      <c r="B701" t="s">
        <v>98</v>
      </c>
      <c r="C701" t="s">
        <v>98</v>
      </c>
      <c r="D701" t="s">
        <v>33</v>
      </c>
      <c r="E701" t="s">
        <v>34</v>
      </c>
      <c r="F701" t="str">
        <f>"0014335"</f>
        <v>0014335</v>
      </c>
      <c r="G701">
        <v>1</v>
      </c>
      <c r="H701" t="str">
        <f>"00000001"</f>
        <v>00000001</v>
      </c>
      <c r="I701" t="s">
        <v>35</v>
      </c>
      <c r="J701"/>
      <c r="K701">
        <v>14.83</v>
      </c>
      <c r="L701">
        <v>0.0</v>
      </c>
      <c r="M701"/>
      <c r="N701"/>
      <c r="O701">
        <v>2.67</v>
      </c>
      <c r="P701">
        <v>0.0</v>
      </c>
      <c r="Q701">
        <v>17.5</v>
      </c>
      <c r="R701"/>
      <c r="S701"/>
      <c r="T701"/>
      <c r="U701"/>
      <c r="V701"/>
      <c r="W701">
        <v>18</v>
      </c>
    </row>
    <row r="702" spans="1:23">
      <c r="A702"/>
      <c r="B702" t="s">
        <v>98</v>
      </c>
      <c r="C702" t="s">
        <v>98</v>
      </c>
      <c r="D702" t="s">
        <v>33</v>
      </c>
      <c r="E702" t="s">
        <v>34</v>
      </c>
      <c r="F702" t="str">
        <f>"0014336"</f>
        <v>0014336</v>
      </c>
      <c r="G702">
        <v>1</v>
      </c>
      <c r="H702" t="str">
        <f>"00000001"</f>
        <v>00000001</v>
      </c>
      <c r="I702" t="s">
        <v>35</v>
      </c>
      <c r="J702"/>
      <c r="K702">
        <v>5.93</v>
      </c>
      <c r="L702">
        <v>0.0</v>
      </c>
      <c r="M702"/>
      <c r="N702"/>
      <c r="O702">
        <v>1.07</v>
      </c>
      <c r="P702">
        <v>0.0</v>
      </c>
      <c r="Q702">
        <v>7.0</v>
      </c>
      <c r="R702"/>
      <c r="S702"/>
      <c r="T702"/>
      <c r="U702"/>
      <c r="V702"/>
      <c r="W702">
        <v>18</v>
      </c>
    </row>
    <row r="703" spans="1:23">
      <c r="A703"/>
      <c r="B703" t="s">
        <v>98</v>
      </c>
      <c r="C703" t="s">
        <v>98</v>
      </c>
      <c r="D703" t="s">
        <v>33</v>
      </c>
      <c r="E703" t="s">
        <v>34</v>
      </c>
      <c r="F703" t="str">
        <f>"0014337"</f>
        <v>0014337</v>
      </c>
      <c r="G703">
        <v>1</v>
      </c>
      <c r="H703" t="str">
        <f>"00000001"</f>
        <v>00000001</v>
      </c>
      <c r="I703" t="s">
        <v>35</v>
      </c>
      <c r="J703"/>
      <c r="K703">
        <v>57.63</v>
      </c>
      <c r="L703">
        <v>0.0</v>
      </c>
      <c r="M703"/>
      <c r="N703"/>
      <c r="O703">
        <v>10.37</v>
      </c>
      <c r="P703">
        <v>0.0</v>
      </c>
      <c r="Q703">
        <v>68.0</v>
      </c>
      <c r="R703"/>
      <c r="S703"/>
      <c r="T703"/>
      <c r="U703"/>
      <c r="V703"/>
      <c r="W703">
        <v>18</v>
      </c>
    </row>
    <row r="704" spans="1:23">
      <c r="A704"/>
      <c r="B704" t="s">
        <v>98</v>
      </c>
      <c r="C704" t="s">
        <v>98</v>
      </c>
      <c r="D704" t="s">
        <v>33</v>
      </c>
      <c r="E704" t="s">
        <v>34</v>
      </c>
      <c r="F704" t="str">
        <f>"0014338"</f>
        <v>0014338</v>
      </c>
      <c r="G704">
        <v>1</v>
      </c>
      <c r="H704" t="str">
        <f>"00000001"</f>
        <v>00000001</v>
      </c>
      <c r="I704" t="s">
        <v>35</v>
      </c>
      <c r="J704"/>
      <c r="K704">
        <v>19.49</v>
      </c>
      <c r="L704">
        <v>0.0</v>
      </c>
      <c r="M704"/>
      <c r="N704"/>
      <c r="O704">
        <v>3.51</v>
      </c>
      <c r="P704">
        <v>0.0</v>
      </c>
      <c r="Q704">
        <v>23.0</v>
      </c>
      <c r="R704"/>
      <c r="S704"/>
      <c r="T704"/>
      <c r="U704"/>
      <c r="V704"/>
      <c r="W704">
        <v>18</v>
      </c>
    </row>
    <row r="705" spans="1:23">
      <c r="A705"/>
      <c r="B705" t="s">
        <v>98</v>
      </c>
      <c r="C705" t="s">
        <v>98</v>
      </c>
      <c r="D705" t="s">
        <v>40</v>
      </c>
      <c r="E705" t="s">
        <v>41</v>
      </c>
      <c r="F705" t="str">
        <f>"0001280"</f>
        <v>0001280</v>
      </c>
      <c r="G705">
        <v>6</v>
      </c>
      <c r="H705" t="str">
        <f>"20141189850"</f>
        <v>20141189850</v>
      </c>
      <c r="I705" t="s">
        <v>99</v>
      </c>
      <c r="J705"/>
      <c r="K705">
        <v>83.9</v>
      </c>
      <c r="L705">
        <v>0.0</v>
      </c>
      <c r="M705"/>
      <c r="N705"/>
      <c r="O705">
        <v>15.1</v>
      </c>
      <c r="P705">
        <v>0.0</v>
      </c>
      <c r="Q705">
        <v>99.0</v>
      </c>
      <c r="R705"/>
      <c r="S705"/>
      <c r="T705"/>
      <c r="U705"/>
      <c r="V705"/>
      <c r="W705">
        <v>18</v>
      </c>
    </row>
    <row r="706" spans="1:23">
      <c r="A706"/>
      <c r="B706" t="s">
        <v>98</v>
      </c>
      <c r="C706" t="s">
        <v>98</v>
      </c>
      <c r="D706" t="s">
        <v>33</v>
      </c>
      <c r="E706" t="s">
        <v>34</v>
      </c>
      <c r="F706" t="str">
        <f>"0014339"</f>
        <v>0014339</v>
      </c>
      <c r="G706">
        <v>1</v>
      </c>
      <c r="H706" t="str">
        <f>"00000001"</f>
        <v>00000001</v>
      </c>
      <c r="I706" t="s">
        <v>35</v>
      </c>
      <c r="J706"/>
      <c r="K706">
        <v>48.31</v>
      </c>
      <c r="L706">
        <v>0.0</v>
      </c>
      <c r="M706"/>
      <c r="N706"/>
      <c r="O706">
        <v>8.69</v>
      </c>
      <c r="P706">
        <v>0.0</v>
      </c>
      <c r="Q706">
        <v>57.0</v>
      </c>
      <c r="R706"/>
      <c r="S706"/>
      <c r="T706"/>
      <c r="U706"/>
      <c r="V706"/>
      <c r="W706">
        <v>18</v>
      </c>
    </row>
    <row r="707" spans="1:23">
      <c r="A707"/>
      <c r="B707" t="s">
        <v>98</v>
      </c>
      <c r="C707" t="s">
        <v>98</v>
      </c>
      <c r="D707" t="s">
        <v>33</v>
      </c>
      <c r="E707" t="s">
        <v>34</v>
      </c>
      <c r="F707" t="str">
        <f>"0014340"</f>
        <v>0014340</v>
      </c>
      <c r="G707">
        <v>1</v>
      </c>
      <c r="H707" t="str">
        <f>"00000001"</f>
        <v>00000001</v>
      </c>
      <c r="I707" t="s">
        <v>35</v>
      </c>
      <c r="J707"/>
      <c r="K707">
        <v>3.81</v>
      </c>
      <c r="L707">
        <v>0.0</v>
      </c>
      <c r="M707"/>
      <c r="N707"/>
      <c r="O707">
        <v>0.69</v>
      </c>
      <c r="P707">
        <v>0.0</v>
      </c>
      <c r="Q707">
        <v>4.5</v>
      </c>
      <c r="R707"/>
      <c r="S707"/>
      <c r="T707"/>
      <c r="U707"/>
      <c r="V707"/>
      <c r="W707">
        <v>18</v>
      </c>
    </row>
    <row r="708" spans="1:23">
      <c r="A708"/>
      <c r="B708" t="s">
        <v>98</v>
      </c>
      <c r="C708" t="s">
        <v>98</v>
      </c>
      <c r="D708" t="s">
        <v>33</v>
      </c>
      <c r="E708" t="s">
        <v>34</v>
      </c>
      <c r="F708" t="str">
        <f>"0014341"</f>
        <v>0014341</v>
      </c>
      <c r="G708">
        <v>1</v>
      </c>
      <c r="H708" t="str">
        <f>"00000001"</f>
        <v>00000001</v>
      </c>
      <c r="I708" t="s">
        <v>35</v>
      </c>
      <c r="J708"/>
      <c r="K708">
        <v>52.97</v>
      </c>
      <c r="L708">
        <v>0.0</v>
      </c>
      <c r="M708"/>
      <c r="N708"/>
      <c r="O708">
        <v>9.53</v>
      </c>
      <c r="P708">
        <v>0.0</v>
      </c>
      <c r="Q708">
        <v>62.5</v>
      </c>
      <c r="R708"/>
      <c r="S708"/>
      <c r="T708"/>
      <c r="U708"/>
      <c r="V708"/>
      <c r="W708">
        <v>18</v>
      </c>
    </row>
    <row r="709" spans="1:23">
      <c r="A709"/>
      <c r="B709" t="s">
        <v>98</v>
      </c>
      <c r="C709" t="s">
        <v>98</v>
      </c>
      <c r="D709" t="s">
        <v>33</v>
      </c>
      <c r="E709" t="s">
        <v>34</v>
      </c>
      <c r="F709" t="str">
        <f>"0014342"</f>
        <v>0014342</v>
      </c>
      <c r="G709">
        <v>1</v>
      </c>
      <c r="H709" t="str">
        <f>"00000001"</f>
        <v>00000001</v>
      </c>
      <c r="I709" t="s">
        <v>35</v>
      </c>
      <c r="J709"/>
      <c r="K709">
        <v>2.54</v>
      </c>
      <c r="L709">
        <v>0.0</v>
      </c>
      <c r="M709"/>
      <c r="N709"/>
      <c r="O709">
        <v>0.46</v>
      </c>
      <c r="P709">
        <v>0.0</v>
      </c>
      <c r="Q709">
        <v>3.0</v>
      </c>
      <c r="R709"/>
      <c r="S709"/>
      <c r="T709"/>
      <c r="U709"/>
      <c r="V709"/>
      <c r="W709">
        <v>18</v>
      </c>
    </row>
    <row r="710" spans="1:23">
      <c r="A710"/>
      <c r="B710" t="s">
        <v>98</v>
      </c>
      <c r="C710" t="s">
        <v>98</v>
      </c>
      <c r="D710" t="s">
        <v>33</v>
      </c>
      <c r="E710" t="s">
        <v>34</v>
      </c>
      <c r="F710" t="str">
        <f>"0014343"</f>
        <v>0014343</v>
      </c>
      <c r="G710">
        <v>1</v>
      </c>
      <c r="H710" t="str">
        <f>"00000001"</f>
        <v>00000001</v>
      </c>
      <c r="I710" t="s">
        <v>35</v>
      </c>
      <c r="J710"/>
      <c r="K710">
        <v>17.8</v>
      </c>
      <c r="L710">
        <v>0.0</v>
      </c>
      <c r="M710"/>
      <c r="N710"/>
      <c r="O710">
        <v>3.2</v>
      </c>
      <c r="P710">
        <v>0.0</v>
      </c>
      <c r="Q710">
        <v>21.0</v>
      </c>
      <c r="R710"/>
      <c r="S710"/>
      <c r="T710"/>
      <c r="U710"/>
      <c r="V710"/>
      <c r="W710">
        <v>18</v>
      </c>
    </row>
    <row r="711" spans="1:23">
      <c r="A711"/>
      <c r="B711" t="s">
        <v>98</v>
      </c>
      <c r="C711" t="s">
        <v>98</v>
      </c>
      <c r="D711" t="s">
        <v>33</v>
      </c>
      <c r="E711" t="s">
        <v>34</v>
      </c>
      <c r="F711" t="str">
        <f>"0014344"</f>
        <v>0014344</v>
      </c>
      <c r="G711">
        <v>1</v>
      </c>
      <c r="H711" t="str">
        <f>"00000001"</f>
        <v>00000001</v>
      </c>
      <c r="I711" t="s">
        <v>35</v>
      </c>
      <c r="J711"/>
      <c r="K711">
        <v>25.42</v>
      </c>
      <c r="L711">
        <v>0.0</v>
      </c>
      <c r="M711"/>
      <c r="N711"/>
      <c r="O711">
        <v>4.58</v>
      </c>
      <c r="P711">
        <v>0.0</v>
      </c>
      <c r="Q711">
        <v>30.0</v>
      </c>
      <c r="R711"/>
      <c r="S711"/>
      <c r="T711"/>
      <c r="U711"/>
      <c r="V711"/>
      <c r="W711">
        <v>18</v>
      </c>
    </row>
    <row r="712" spans="1:23">
      <c r="A712"/>
      <c r="B712" t="s">
        <v>98</v>
      </c>
      <c r="C712" t="s">
        <v>98</v>
      </c>
      <c r="D712" t="s">
        <v>33</v>
      </c>
      <c r="E712" t="s">
        <v>34</v>
      </c>
      <c r="F712" t="str">
        <f>"0014345"</f>
        <v>0014345</v>
      </c>
      <c r="G712">
        <v>1</v>
      </c>
      <c r="H712" t="str">
        <f>"00000001"</f>
        <v>00000001</v>
      </c>
      <c r="I712" t="s">
        <v>35</v>
      </c>
      <c r="J712"/>
      <c r="K712">
        <v>31.36</v>
      </c>
      <c r="L712">
        <v>0.0</v>
      </c>
      <c r="M712"/>
      <c r="N712"/>
      <c r="O712">
        <v>5.64</v>
      </c>
      <c r="P712">
        <v>0.0</v>
      </c>
      <c r="Q712">
        <v>37.0</v>
      </c>
      <c r="R712"/>
      <c r="S712"/>
      <c r="T712"/>
      <c r="U712"/>
      <c r="V712"/>
      <c r="W712">
        <v>18</v>
      </c>
    </row>
    <row r="713" spans="1:23">
      <c r="A713"/>
      <c r="B713" t="s">
        <v>98</v>
      </c>
      <c r="C713" t="s">
        <v>98</v>
      </c>
      <c r="D713" t="s">
        <v>33</v>
      </c>
      <c r="E713" t="s">
        <v>34</v>
      </c>
      <c r="F713" t="str">
        <f>"0014346"</f>
        <v>0014346</v>
      </c>
      <c r="G713">
        <v>1</v>
      </c>
      <c r="H713" t="str">
        <f>"00000001"</f>
        <v>00000001</v>
      </c>
      <c r="I713" t="s">
        <v>35</v>
      </c>
      <c r="J713"/>
      <c r="K713">
        <v>12.71</v>
      </c>
      <c r="L713">
        <v>0.0</v>
      </c>
      <c r="M713"/>
      <c r="N713"/>
      <c r="O713">
        <v>2.29</v>
      </c>
      <c r="P713">
        <v>0.0</v>
      </c>
      <c r="Q713">
        <v>15.0</v>
      </c>
      <c r="R713"/>
      <c r="S713"/>
      <c r="T713"/>
      <c r="U713"/>
      <c r="V713"/>
      <c r="W713">
        <v>18</v>
      </c>
    </row>
    <row r="714" spans="1:23">
      <c r="A714"/>
      <c r="B714" t="s">
        <v>98</v>
      </c>
      <c r="C714" t="s">
        <v>98</v>
      </c>
      <c r="D714" t="s">
        <v>33</v>
      </c>
      <c r="E714" t="s">
        <v>34</v>
      </c>
      <c r="F714" t="str">
        <f>"0014347"</f>
        <v>0014347</v>
      </c>
      <c r="G714">
        <v>1</v>
      </c>
      <c r="H714" t="str">
        <f>"00000001"</f>
        <v>00000001</v>
      </c>
      <c r="I714" t="s">
        <v>35</v>
      </c>
      <c r="J714"/>
      <c r="K714">
        <v>5.08</v>
      </c>
      <c r="L714">
        <v>0.0</v>
      </c>
      <c r="M714"/>
      <c r="N714"/>
      <c r="O714">
        <v>0.92</v>
      </c>
      <c r="P714">
        <v>0.0</v>
      </c>
      <c r="Q714">
        <v>6.0</v>
      </c>
      <c r="R714"/>
      <c r="S714"/>
      <c r="T714"/>
      <c r="U714"/>
      <c r="V714"/>
      <c r="W714">
        <v>18</v>
      </c>
    </row>
    <row r="715" spans="1:23">
      <c r="A715"/>
      <c r="B715" t="s">
        <v>98</v>
      </c>
      <c r="C715" t="s">
        <v>98</v>
      </c>
      <c r="D715" t="s">
        <v>33</v>
      </c>
      <c r="E715" t="s">
        <v>34</v>
      </c>
      <c r="F715" t="str">
        <f>"0014348"</f>
        <v>0014348</v>
      </c>
      <c r="G715">
        <v>1</v>
      </c>
      <c r="H715" t="str">
        <f>"00000001"</f>
        <v>00000001</v>
      </c>
      <c r="I715" t="s">
        <v>35</v>
      </c>
      <c r="J715"/>
      <c r="K715">
        <v>6.78</v>
      </c>
      <c r="L715">
        <v>0.0</v>
      </c>
      <c r="M715"/>
      <c r="N715"/>
      <c r="O715">
        <v>1.22</v>
      </c>
      <c r="P715">
        <v>0.0</v>
      </c>
      <c r="Q715">
        <v>8.0</v>
      </c>
      <c r="R715"/>
      <c r="S715"/>
      <c r="T715"/>
      <c r="U715"/>
      <c r="V715"/>
      <c r="W715">
        <v>18</v>
      </c>
    </row>
    <row r="716" spans="1:23">
      <c r="A716"/>
      <c r="B716" t="s">
        <v>98</v>
      </c>
      <c r="C716" t="s">
        <v>98</v>
      </c>
      <c r="D716" t="s">
        <v>33</v>
      </c>
      <c r="E716" t="s">
        <v>34</v>
      </c>
      <c r="F716" t="str">
        <f>"0014349"</f>
        <v>0014349</v>
      </c>
      <c r="G716">
        <v>1</v>
      </c>
      <c r="H716" t="str">
        <f>"00000001"</f>
        <v>00000001</v>
      </c>
      <c r="I716" t="s">
        <v>35</v>
      </c>
      <c r="J716"/>
      <c r="K716">
        <v>13.98</v>
      </c>
      <c r="L716">
        <v>0.0</v>
      </c>
      <c r="M716"/>
      <c r="N716"/>
      <c r="O716">
        <v>2.52</v>
      </c>
      <c r="P716">
        <v>0.0</v>
      </c>
      <c r="Q716">
        <v>16.5</v>
      </c>
      <c r="R716"/>
      <c r="S716"/>
      <c r="T716"/>
      <c r="U716"/>
      <c r="V716"/>
      <c r="W716">
        <v>18</v>
      </c>
    </row>
    <row r="717" spans="1:23">
      <c r="A717"/>
      <c r="B717" t="s">
        <v>98</v>
      </c>
      <c r="C717" t="s">
        <v>98</v>
      </c>
      <c r="D717" t="s">
        <v>33</v>
      </c>
      <c r="E717" t="s">
        <v>34</v>
      </c>
      <c r="F717" t="str">
        <f>"0014350"</f>
        <v>0014350</v>
      </c>
      <c r="G717">
        <v>1</v>
      </c>
      <c r="H717" t="str">
        <f>"00000390"</f>
        <v>00000390</v>
      </c>
      <c r="I717" t="s">
        <v>37</v>
      </c>
      <c r="J717"/>
      <c r="K717">
        <v>22.46</v>
      </c>
      <c r="L717">
        <v>0.0</v>
      </c>
      <c r="M717"/>
      <c r="N717"/>
      <c r="O717">
        <v>4.04</v>
      </c>
      <c r="P717">
        <v>0.0</v>
      </c>
      <c r="Q717">
        <v>26.5</v>
      </c>
      <c r="R717"/>
      <c r="S717"/>
      <c r="T717"/>
      <c r="U717"/>
      <c r="V717"/>
      <c r="W717">
        <v>18</v>
      </c>
    </row>
    <row r="718" spans="1:23">
      <c r="A718"/>
      <c r="B718" t="s">
        <v>98</v>
      </c>
      <c r="C718" t="s">
        <v>98</v>
      </c>
      <c r="D718" t="s">
        <v>33</v>
      </c>
      <c r="E718" t="s">
        <v>34</v>
      </c>
      <c r="F718" t="str">
        <f>"0014351"</f>
        <v>0014351</v>
      </c>
      <c r="G718">
        <v>1</v>
      </c>
      <c r="H718" t="str">
        <f>"00000001"</f>
        <v>00000001</v>
      </c>
      <c r="I718" t="s">
        <v>35</v>
      </c>
      <c r="J718"/>
      <c r="K718">
        <v>336.44</v>
      </c>
      <c r="L718">
        <v>0.0</v>
      </c>
      <c r="M718"/>
      <c r="N718"/>
      <c r="O718">
        <v>60.56</v>
      </c>
      <c r="P718">
        <v>0.0</v>
      </c>
      <c r="Q718">
        <v>397.0</v>
      </c>
      <c r="R718"/>
      <c r="S718"/>
      <c r="T718"/>
      <c r="U718"/>
      <c r="V718"/>
      <c r="W718">
        <v>18</v>
      </c>
    </row>
    <row r="719" spans="1:23">
      <c r="A719"/>
      <c r="B719" t="s">
        <v>98</v>
      </c>
      <c r="C719" t="s">
        <v>98</v>
      </c>
      <c r="D719" t="s">
        <v>33</v>
      </c>
      <c r="E719" t="s">
        <v>34</v>
      </c>
      <c r="F719" t="str">
        <f>"0014352"</f>
        <v>0014352</v>
      </c>
      <c r="G719">
        <v>1</v>
      </c>
      <c r="H719" t="str">
        <f>"82662000"</f>
        <v>82662000</v>
      </c>
      <c r="I719" t="s">
        <v>100</v>
      </c>
      <c r="J719"/>
      <c r="K719">
        <v>11.86</v>
      </c>
      <c r="L719">
        <v>0.0</v>
      </c>
      <c r="M719"/>
      <c r="N719"/>
      <c r="O719">
        <v>2.14</v>
      </c>
      <c r="P719">
        <v>0.0</v>
      </c>
      <c r="Q719">
        <v>14.0</v>
      </c>
      <c r="R719"/>
      <c r="S719"/>
      <c r="T719"/>
      <c r="U719"/>
      <c r="V719"/>
      <c r="W719">
        <v>18</v>
      </c>
    </row>
    <row r="720" spans="1:23">
      <c r="A720"/>
      <c r="B720" t="s">
        <v>98</v>
      </c>
      <c r="C720" t="s">
        <v>98</v>
      </c>
      <c r="D720" t="s">
        <v>33</v>
      </c>
      <c r="E720" t="s">
        <v>34</v>
      </c>
      <c r="F720" t="str">
        <f>"0014353"</f>
        <v>0014353</v>
      </c>
      <c r="G720">
        <v>1</v>
      </c>
      <c r="H720" t="str">
        <f>"00000390"</f>
        <v>00000390</v>
      </c>
      <c r="I720" t="s">
        <v>37</v>
      </c>
      <c r="J720"/>
      <c r="K720">
        <v>8.47</v>
      </c>
      <c r="L720">
        <v>0.0</v>
      </c>
      <c r="M720"/>
      <c r="N720"/>
      <c r="O720">
        <v>1.53</v>
      </c>
      <c r="P720">
        <v>0.0</v>
      </c>
      <c r="Q720">
        <v>10.0</v>
      </c>
      <c r="R720"/>
      <c r="S720"/>
      <c r="T720"/>
      <c r="U720"/>
      <c r="V720"/>
      <c r="W720">
        <v>18</v>
      </c>
    </row>
    <row r="721" spans="1:23">
      <c r="A721"/>
      <c r="B721" t="s">
        <v>98</v>
      </c>
      <c r="C721" t="s">
        <v>98</v>
      </c>
      <c r="D721" t="s">
        <v>33</v>
      </c>
      <c r="E721" t="s">
        <v>34</v>
      </c>
      <c r="F721" t="str">
        <f>"0014354"</f>
        <v>0014354</v>
      </c>
      <c r="G721">
        <v>1</v>
      </c>
      <c r="H721" t="str">
        <f>"00000001"</f>
        <v>00000001</v>
      </c>
      <c r="I721" t="s">
        <v>35</v>
      </c>
      <c r="J721"/>
      <c r="K721">
        <v>13.56</v>
      </c>
      <c r="L721">
        <v>0.0</v>
      </c>
      <c r="M721"/>
      <c r="N721"/>
      <c r="O721">
        <v>2.44</v>
      </c>
      <c r="P721">
        <v>0.0</v>
      </c>
      <c r="Q721">
        <v>16.0</v>
      </c>
      <c r="R721"/>
      <c r="S721"/>
      <c r="T721"/>
      <c r="U721"/>
      <c r="V721"/>
      <c r="W721">
        <v>18</v>
      </c>
    </row>
    <row r="722" spans="1:23">
      <c r="A722"/>
      <c r="B722" t="s">
        <v>98</v>
      </c>
      <c r="C722" t="s">
        <v>98</v>
      </c>
      <c r="D722" t="s">
        <v>33</v>
      </c>
      <c r="E722" t="s">
        <v>34</v>
      </c>
      <c r="F722" t="str">
        <f>"0014355"</f>
        <v>0014355</v>
      </c>
      <c r="G722">
        <v>1</v>
      </c>
      <c r="H722" t="str">
        <f>"00000001"</f>
        <v>00000001</v>
      </c>
      <c r="I722" t="s">
        <v>35</v>
      </c>
      <c r="J722"/>
      <c r="K722">
        <v>10.17</v>
      </c>
      <c r="L722">
        <v>0.0</v>
      </c>
      <c r="M722"/>
      <c r="N722"/>
      <c r="O722">
        <v>1.83</v>
      </c>
      <c r="P722">
        <v>0.0</v>
      </c>
      <c r="Q722">
        <v>12.0</v>
      </c>
      <c r="R722"/>
      <c r="S722"/>
      <c r="T722"/>
      <c r="U722"/>
      <c r="V722"/>
      <c r="W722">
        <v>18</v>
      </c>
    </row>
    <row r="723" spans="1:23">
      <c r="A723"/>
      <c r="B723" t="s">
        <v>98</v>
      </c>
      <c r="C723" t="s">
        <v>98</v>
      </c>
      <c r="D723" t="s">
        <v>33</v>
      </c>
      <c r="E723" t="s">
        <v>34</v>
      </c>
      <c r="F723" t="str">
        <f>"0014356"</f>
        <v>0014356</v>
      </c>
      <c r="G723">
        <v>1</v>
      </c>
      <c r="H723" t="str">
        <f>"00000001"</f>
        <v>00000001</v>
      </c>
      <c r="I723" t="s">
        <v>35</v>
      </c>
      <c r="J723"/>
      <c r="K723">
        <v>4.24</v>
      </c>
      <c r="L723">
        <v>0.0</v>
      </c>
      <c r="M723"/>
      <c r="N723"/>
      <c r="O723">
        <v>0.76</v>
      </c>
      <c r="P723">
        <v>0.0</v>
      </c>
      <c r="Q723">
        <v>5.0</v>
      </c>
      <c r="R723"/>
      <c r="S723"/>
      <c r="T723"/>
      <c r="U723"/>
      <c r="V723"/>
      <c r="W723">
        <v>18</v>
      </c>
    </row>
    <row r="724" spans="1:23">
      <c r="A724"/>
      <c r="B724" t="s">
        <v>98</v>
      </c>
      <c r="C724" t="s">
        <v>98</v>
      </c>
      <c r="D724" t="s">
        <v>33</v>
      </c>
      <c r="E724" t="s">
        <v>34</v>
      </c>
      <c r="F724" t="str">
        <f>"0014357"</f>
        <v>0014357</v>
      </c>
      <c r="G724">
        <v>1</v>
      </c>
      <c r="H724" t="str">
        <f>"00000001"</f>
        <v>00000001</v>
      </c>
      <c r="I724" t="s">
        <v>35</v>
      </c>
      <c r="J724"/>
      <c r="K724">
        <v>3.39</v>
      </c>
      <c r="L724">
        <v>0.0</v>
      </c>
      <c r="M724"/>
      <c r="N724"/>
      <c r="O724">
        <v>0.61</v>
      </c>
      <c r="P724">
        <v>0.0</v>
      </c>
      <c r="Q724">
        <v>4.0</v>
      </c>
      <c r="R724"/>
      <c r="S724"/>
      <c r="T724"/>
      <c r="U724"/>
      <c r="V724"/>
      <c r="W724">
        <v>18</v>
      </c>
    </row>
    <row r="725" spans="1:23">
      <c r="A725"/>
      <c r="B725" t="s">
        <v>98</v>
      </c>
      <c r="C725" t="s">
        <v>98</v>
      </c>
      <c r="D725" t="s">
        <v>33</v>
      </c>
      <c r="E725" t="s">
        <v>34</v>
      </c>
      <c r="F725" t="str">
        <f>"0014358"</f>
        <v>0014358</v>
      </c>
      <c r="G725">
        <v>1</v>
      </c>
      <c r="H725" t="str">
        <f>"00000001"</f>
        <v>00000001</v>
      </c>
      <c r="I725" t="s">
        <v>35</v>
      </c>
      <c r="J725"/>
      <c r="K725">
        <v>18.64</v>
      </c>
      <c r="L725">
        <v>0.0</v>
      </c>
      <c r="M725"/>
      <c r="N725"/>
      <c r="O725">
        <v>3.36</v>
      </c>
      <c r="P725">
        <v>0.0</v>
      </c>
      <c r="Q725">
        <v>22.0</v>
      </c>
      <c r="R725"/>
      <c r="S725"/>
      <c r="T725"/>
      <c r="U725"/>
      <c r="V725"/>
      <c r="W725">
        <v>18</v>
      </c>
    </row>
    <row r="726" spans="1:23">
      <c r="A726"/>
      <c r="B726" t="s">
        <v>98</v>
      </c>
      <c r="C726" t="s">
        <v>98</v>
      </c>
      <c r="D726" t="s">
        <v>33</v>
      </c>
      <c r="E726" t="s">
        <v>34</v>
      </c>
      <c r="F726" t="str">
        <f>"0014359"</f>
        <v>0014359</v>
      </c>
      <c r="G726">
        <v>1</v>
      </c>
      <c r="H726" t="str">
        <f>"00000001"</f>
        <v>00000001</v>
      </c>
      <c r="I726" t="s">
        <v>35</v>
      </c>
      <c r="J726"/>
      <c r="K726">
        <v>10.17</v>
      </c>
      <c r="L726">
        <v>0.0</v>
      </c>
      <c r="M726"/>
      <c r="N726"/>
      <c r="O726">
        <v>1.83</v>
      </c>
      <c r="P726">
        <v>0.0</v>
      </c>
      <c r="Q726">
        <v>12.0</v>
      </c>
      <c r="R726"/>
      <c r="S726"/>
      <c r="T726"/>
      <c r="U726"/>
      <c r="V726"/>
      <c r="W726">
        <v>18</v>
      </c>
    </row>
    <row r="727" spans="1:23">
      <c r="A727"/>
      <c r="B727" t="s">
        <v>98</v>
      </c>
      <c r="C727" t="s">
        <v>98</v>
      </c>
      <c r="D727" t="s">
        <v>33</v>
      </c>
      <c r="E727" t="s">
        <v>34</v>
      </c>
      <c r="F727" t="str">
        <f>"0014360"</f>
        <v>0014360</v>
      </c>
      <c r="G727">
        <v>1</v>
      </c>
      <c r="H727" t="str">
        <f>"00000001"</f>
        <v>00000001</v>
      </c>
      <c r="I727" t="s">
        <v>35</v>
      </c>
      <c r="J727"/>
      <c r="K727">
        <v>5.93</v>
      </c>
      <c r="L727">
        <v>0.0</v>
      </c>
      <c r="M727"/>
      <c r="N727"/>
      <c r="O727">
        <v>1.07</v>
      </c>
      <c r="P727">
        <v>0.0</v>
      </c>
      <c r="Q727">
        <v>7.0</v>
      </c>
      <c r="R727"/>
      <c r="S727"/>
      <c r="T727"/>
      <c r="U727"/>
      <c r="V727"/>
      <c r="W727">
        <v>18</v>
      </c>
    </row>
    <row r="728" spans="1:23">
      <c r="A728"/>
      <c r="B728" t="s">
        <v>98</v>
      </c>
      <c r="C728" t="s">
        <v>98</v>
      </c>
      <c r="D728" t="s">
        <v>33</v>
      </c>
      <c r="E728" t="s">
        <v>34</v>
      </c>
      <c r="F728" t="str">
        <f>"0014361"</f>
        <v>0014361</v>
      </c>
      <c r="G728">
        <v>1</v>
      </c>
      <c r="H728" t="str">
        <f>"00000001"</f>
        <v>00000001</v>
      </c>
      <c r="I728" t="s">
        <v>35</v>
      </c>
      <c r="J728"/>
      <c r="K728">
        <v>130.08</v>
      </c>
      <c r="L728">
        <v>0.0</v>
      </c>
      <c r="M728"/>
      <c r="N728"/>
      <c r="O728">
        <v>23.42</v>
      </c>
      <c r="P728">
        <v>0.0</v>
      </c>
      <c r="Q728">
        <v>153.5</v>
      </c>
      <c r="R728"/>
      <c r="S728"/>
      <c r="T728"/>
      <c r="U728"/>
      <c r="V728"/>
      <c r="W728">
        <v>18</v>
      </c>
    </row>
    <row r="729" spans="1:23">
      <c r="A729"/>
      <c r="B729" t="s">
        <v>98</v>
      </c>
      <c r="C729" t="s">
        <v>98</v>
      </c>
      <c r="D729" t="s">
        <v>33</v>
      </c>
      <c r="E729" t="s">
        <v>34</v>
      </c>
      <c r="F729" t="str">
        <f>"0014362"</f>
        <v>0014362</v>
      </c>
      <c r="G729">
        <v>1</v>
      </c>
      <c r="H729" t="str">
        <f>"00000001"</f>
        <v>00000001</v>
      </c>
      <c r="I729" t="s">
        <v>35</v>
      </c>
      <c r="J729"/>
      <c r="K729">
        <v>22.03</v>
      </c>
      <c r="L729">
        <v>0.0</v>
      </c>
      <c r="M729"/>
      <c r="N729"/>
      <c r="O729">
        <v>3.97</v>
      </c>
      <c r="P729">
        <v>0.0</v>
      </c>
      <c r="Q729">
        <v>26.0</v>
      </c>
      <c r="R729"/>
      <c r="S729"/>
      <c r="T729"/>
      <c r="U729"/>
      <c r="V729"/>
      <c r="W729">
        <v>18</v>
      </c>
    </row>
    <row r="730" spans="1:23">
      <c r="A730"/>
      <c r="B730" t="s">
        <v>98</v>
      </c>
      <c r="C730" t="s">
        <v>98</v>
      </c>
      <c r="D730" t="s">
        <v>33</v>
      </c>
      <c r="E730" t="s">
        <v>34</v>
      </c>
      <c r="F730" t="str">
        <f>"0014363"</f>
        <v>0014363</v>
      </c>
      <c r="G730">
        <v>1</v>
      </c>
      <c r="H730" t="str">
        <f>"00000001"</f>
        <v>00000001</v>
      </c>
      <c r="I730" t="s">
        <v>35</v>
      </c>
      <c r="J730"/>
      <c r="K730">
        <v>6.36</v>
      </c>
      <c r="L730">
        <v>0.0</v>
      </c>
      <c r="M730"/>
      <c r="N730"/>
      <c r="O730">
        <v>1.14</v>
      </c>
      <c r="P730">
        <v>0.0</v>
      </c>
      <c r="Q730">
        <v>7.5</v>
      </c>
      <c r="R730"/>
      <c r="S730"/>
      <c r="T730"/>
      <c r="U730"/>
      <c r="V730"/>
      <c r="W730">
        <v>18</v>
      </c>
    </row>
    <row r="731" spans="1:23">
      <c r="A731"/>
      <c r="B731" t="s">
        <v>98</v>
      </c>
      <c r="C731" t="s">
        <v>98</v>
      </c>
      <c r="D731" t="s">
        <v>33</v>
      </c>
      <c r="E731" t="s">
        <v>34</v>
      </c>
      <c r="F731" t="str">
        <f>"0014364"</f>
        <v>0014364</v>
      </c>
      <c r="G731">
        <v>1</v>
      </c>
      <c r="H731" t="str">
        <f>"00000001"</f>
        <v>00000001</v>
      </c>
      <c r="I731" t="s">
        <v>35</v>
      </c>
      <c r="J731"/>
      <c r="K731">
        <v>8.47</v>
      </c>
      <c r="L731">
        <v>0.0</v>
      </c>
      <c r="M731"/>
      <c r="N731"/>
      <c r="O731">
        <v>1.53</v>
      </c>
      <c r="P731">
        <v>0.0</v>
      </c>
      <c r="Q731">
        <v>10.0</v>
      </c>
      <c r="R731"/>
      <c r="S731"/>
      <c r="T731"/>
      <c r="U731"/>
      <c r="V731"/>
      <c r="W731">
        <v>18</v>
      </c>
    </row>
    <row r="732" spans="1:23">
      <c r="A732"/>
      <c r="B732" t="s">
        <v>98</v>
      </c>
      <c r="C732" t="s">
        <v>98</v>
      </c>
      <c r="D732" t="s">
        <v>40</v>
      </c>
      <c r="E732" t="s">
        <v>41</v>
      </c>
      <c r="F732" t="str">
        <f>"0001281"</f>
        <v>0001281</v>
      </c>
      <c r="G732">
        <v>6</v>
      </c>
      <c r="H732" t="str">
        <f>"10431856544"</f>
        <v>10431856544</v>
      </c>
      <c r="I732" t="s">
        <v>58</v>
      </c>
      <c r="J732"/>
      <c r="K732">
        <v>6.78</v>
      </c>
      <c r="L732">
        <v>0.0</v>
      </c>
      <c r="M732"/>
      <c r="N732"/>
      <c r="O732">
        <v>1.22</v>
      </c>
      <c r="P732">
        <v>0.0</v>
      </c>
      <c r="Q732">
        <v>8.0</v>
      </c>
      <c r="R732"/>
      <c r="S732"/>
      <c r="T732"/>
      <c r="U732"/>
      <c r="V732"/>
      <c r="W732">
        <v>18</v>
      </c>
    </row>
    <row r="733" spans="1:23">
      <c r="A733"/>
      <c r="B733" t="s">
        <v>98</v>
      </c>
      <c r="C733" t="s">
        <v>98</v>
      </c>
      <c r="D733" t="s">
        <v>33</v>
      </c>
      <c r="E733" t="s">
        <v>34</v>
      </c>
      <c r="F733" t="str">
        <f>"0014365"</f>
        <v>0014365</v>
      </c>
      <c r="G733">
        <v>1</v>
      </c>
      <c r="H733" t="str">
        <f>"00000001"</f>
        <v>00000001</v>
      </c>
      <c r="I733" t="s">
        <v>35</v>
      </c>
      <c r="J733"/>
      <c r="K733">
        <v>16.95</v>
      </c>
      <c r="L733">
        <v>0.0</v>
      </c>
      <c r="M733"/>
      <c r="N733"/>
      <c r="O733">
        <v>3.05</v>
      </c>
      <c r="P733">
        <v>0.0</v>
      </c>
      <c r="Q733">
        <v>20.0</v>
      </c>
      <c r="R733"/>
      <c r="S733"/>
      <c r="T733"/>
      <c r="U733"/>
      <c r="V733"/>
      <c r="W733">
        <v>18</v>
      </c>
    </row>
    <row r="734" spans="1:23">
      <c r="A734"/>
      <c r="B734" t="s">
        <v>101</v>
      </c>
      <c r="C734" t="s">
        <v>101</v>
      </c>
      <c r="D734" t="s">
        <v>33</v>
      </c>
      <c r="E734" t="s">
        <v>34</v>
      </c>
      <c r="F734" t="str">
        <f>"0014366"</f>
        <v>0014366</v>
      </c>
      <c r="G734">
        <v>1</v>
      </c>
      <c r="H734" t="str">
        <f>"00000001"</f>
        <v>00000001</v>
      </c>
      <c r="I734" t="s">
        <v>35</v>
      </c>
      <c r="J734"/>
      <c r="K734">
        <v>5.08</v>
      </c>
      <c r="L734">
        <v>0.0</v>
      </c>
      <c r="M734"/>
      <c r="N734"/>
      <c r="O734">
        <v>0.92</v>
      </c>
      <c r="P734">
        <v>0.0</v>
      </c>
      <c r="Q734">
        <v>6.0</v>
      </c>
      <c r="R734"/>
      <c r="S734"/>
      <c r="T734"/>
      <c r="U734"/>
      <c r="V734"/>
      <c r="W734">
        <v>18</v>
      </c>
    </row>
    <row r="735" spans="1:23">
      <c r="A735"/>
      <c r="B735" t="s">
        <v>101</v>
      </c>
      <c r="C735" t="s">
        <v>101</v>
      </c>
      <c r="D735" t="s">
        <v>33</v>
      </c>
      <c r="E735" t="s">
        <v>34</v>
      </c>
      <c r="F735" t="str">
        <f>"0014367"</f>
        <v>0014367</v>
      </c>
      <c r="G735">
        <v>1</v>
      </c>
      <c r="H735" t="str">
        <f>"00000001"</f>
        <v>00000001</v>
      </c>
      <c r="I735" t="s">
        <v>35</v>
      </c>
      <c r="J735"/>
      <c r="K735">
        <v>4.24</v>
      </c>
      <c r="L735">
        <v>0.0</v>
      </c>
      <c r="M735"/>
      <c r="N735"/>
      <c r="O735">
        <v>0.76</v>
      </c>
      <c r="P735">
        <v>0.0</v>
      </c>
      <c r="Q735">
        <v>5.0</v>
      </c>
      <c r="R735"/>
      <c r="S735"/>
      <c r="T735"/>
      <c r="U735"/>
      <c r="V735"/>
      <c r="W735">
        <v>18</v>
      </c>
    </row>
    <row r="736" spans="1:23">
      <c r="A736"/>
      <c r="B736" t="s">
        <v>101</v>
      </c>
      <c r="C736" t="s">
        <v>101</v>
      </c>
      <c r="D736" t="s">
        <v>33</v>
      </c>
      <c r="E736" t="s">
        <v>34</v>
      </c>
      <c r="F736" t="str">
        <f>"0014368"</f>
        <v>0014368</v>
      </c>
      <c r="G736">
        <v>1</v>
      </c>
      <c r="H736" t="str">
        <f>"73828054"</f>
        <v>73828054</v>
      </c>
      <c r="I736" t="s">
        <v>66</v>
      </c>
      <c r="J736"/>
      <c r="K736">
        <v>29.66</v>
      </c>
      <c r="L736">
        <v>0.0</v>
      </c>
      <c r="M736"/>
      <c r="N736"/>
      <c r="O736">
        <v>5.34</v>
      </c>
      <c r="P736">
        <v>0.0</v>
      </c>
      <c r="Q736">
        <v>35.0</v>
      </c>
      <c r="R736"/>
      <c r="S736"/>
      <c r="T736"/>
      <c r="U736"/>
      <c r="V736"/>
      <c r="W736">
        <v>18</v>
      </c>
    </row>
    <row r="737" spans="1:23">
      <c r="A737"/>
      <c r="B737" t="s">
        <v>101</v>
      </c>
      <c r="C737" t="s">
        <v>101</v>
      </c>
      <c r="D737" t="s">
        <v>33</v>
      </c>
      <c r="E737" t="s">
        <v>34</v>
      </c>
      <c r="F737" t="str">
        <f>"0014369"</f>
        <v>0014369</v>
      </c>
      <c r="G737">
        <v>1</v>
      </c>
      <c r="H737" t="str">
        <f>"00000001"</f>
        <v>00000001</v>
      </c>
      <c r="I737" t="s">
        <v>35</v>
      </c>
      <c r="J737"/>
      <c r="K737">
        <v>6.78</v>
      </c>
      <c r="L737">
        <v>0.0</v>
      </c>
      <c r="M737"/>
      <c r="N737"/>
      <c r="O737">
        <v>1.22</v>
      </c>
      <c r="P737">
        <v>0.0</v>
      </c>
      <c r="Q737">
        <v>8.0</v>
      </c>
      <c r="R737"/>
      <c r="S737"/>
      <c r="T737"/>
      <c r="U737"/>
      <c r="V737"/>
      <c r="W737">
        <v>18</v>
      </c>
    </row>
    <row r="738" spans="1:23">
      <c r="A738"/>
      <c r="B738" t="s">
        <v>101</v>
      </c>
      <c r="C738" t="s">
        <v>101</v>
      </c>
      <c r="D738" t="s">
        <v>33</v>
      </c>
      <c r="E738" t="s">
        <v>34</v>
      </c>
      <c r="F738" t="str">
        <f>"0014370"</f>
        <v>0014370</v>
      </c>
      <c r="G738">
        <v>6</v>
      </c>
      <c r="H738" t="str">
        <f>"20148260843"</f>
        <v>20148260843</v>
      </c>
      <c r="I738" t="s">
        <v>91</v>
      </c>
      <c r="J738"/>
      <c r="K738">
        <v>5.08</v>
      </c>
      <c r="L738">
        <v>0.0</v>
      </c>
      <c r="M738"/>
      <c r="N738"/>
      <c r="O738">
        <v>0.92</v>
      </c>
      <c r="P738">
        <v>0.0</v>
      </c>
      <c r="Q738">
        <v>6.0</v>
      </c>
      <c r="R738"/>
      <c r="S738"/>
      <c r="T738"/>
      <c r="U738"/>
      <c r="V738"/>
      <c r="W738">
        <v>18</v>
      </c>
    </row>
    <row r="739" spans="1:23">
      <c r="A739"/>
      <c r="B739" t="s">
        <v>101</v>
      </c>
      <c r="C739" t="s">
        <v>101</v>
      </c>
      <c r="D739" t="s">
        <v>33</v>
      </c>
      <c r="E739" t="s">
        <v>34</v>
      </c>
      <c r="F739" t="str">
        <f>"0014371"</f>
        <v>0014371</v>
      </c>
      <c r="G739">
        <v>1</v>
      </c>
      <c r="H739" t="str">
        <f>"00000001"</f>
        <v>00000001</v>
      </c>
      <c r="I739" t="s">
        <v>35</v>
      </c>
      <c r="J739"/>
      <c r="K739">
        <v>391.53</v>
      </c>
      <c r="L739">
        <v>0.0</v>
      </c>
      <c r="M739"/>
      <c r="N739"/>
      <c r="O739">
        <v>70.47</v>
      </c>
      <c r="P739">
        <v>0.0</v>
      </c>
      <c r="Q739">
        <v>462.0</v>
      </c>
      <c r="R739"/>
      <c r="S739"/>
      <c r="T739"/>
      <c r="U739"/>
      <c r="V739"/>
      <c r="W739">
        <v>18</v>
      </c>
    </row>
    <row r="740" spans="1:23">
      <c r="A740"/>
      <c r="B740" t="s">
        <v>101</v>
      </c>
      <c r="C740" t="s">
        <v>101</v>
      </c>
      <c r="D740" t="s">
        <v>33</v>
      </c>
      <c r="E740" t="s">
        <v>34</v>
      </c>
      <c r="F740" t="str">
        <f>"0014372"</f>
        <v>0014372</v>
      </c>
      <c r="G740">
        <v>1</v>
      </c>
      <c r="H740" t="str">
        <f>"00000001"</f>
        <v>00000001</v>
      </c>
      <c r="I740" t="s">
        <v>35</v>
      </c>
      <c r="J740"/>
      <c r="K740">
        <v>30.51</v>
      </c>
      <c r="L740">
        <v>0.0</v>
      </c>
      <c r="M740"/>
      <c r="N740"/>
      <c r="O740">
        <v>5.49</v>
      </c>
      <c r="P740">
        <v>0.0</v>
      </c>
      <c r="Q740">
        <v>36.0</v>
      </c>
      <c r="R740"/>
      <c r="S740"/>
      <c r="T740"/>
      <c r="U740"/>
      <c r="V740"/>
      <c r="W740">
        <v>18</v>
      </c>
    </row>
    <row r="741" spans="1:23">
      <c r="A741"/>
      <c r="B741" t="s">
        <v>101</v>
      </c>
      <c r="C741" t="s">
        <v>101</v>
      </c>
      <c r="D741" t="s">
        <v>33</v>
      </c>
      <c r="E741" t="s">
        <v>34</v>
      </c>
      <c r="F741" t="str">
        <f>"0014373"</f>
        <v>0014373</v>
      </c>
      <c r="G741">
        <v>1</v>
      </c>
      <c r="H741" t="str">
        <f>"00000001"</f>
        <v>00000001</v>
      </c>
      <c r="I741" t="s">
        <v>35</v>
      </c>
      <c r="J741"/>
      <c r="K741">
        <v>32.2</v>
      </c>
      <c r="L741">
        <v>0.0</v>
      </c>
      <c r="M741"/>
      <c r="N741"/>
      <c r="O741">
        <v>5.8</v>
      </c>
      <c r="P741">
        <v>0.0</v>
      </c>
      <c r="Q741">
        <v>38.0</v>
      </c>
      <c r="R741"/>
      <c r="S741"/>
      <c r="T741"/>
      <c r="U741"/>
      <c r="V741"/>
      <c r="W741">
        <v>18</v>
      </c>
    </row>
    <row r="742" spans="1:23">
      <c r="A742"/>
      <c r="B742" t="s">
        <v>101</v>
      </c>
      <c r="C742" t="s">
        <v>101</v>
      </c>
      <c r="D742" t="s">
        <v>33</v>
      </c>
      <c r="E742" t="s">
        <v>34</v>
      </c>
      <c r="F742" t="str">
        <f>"0014374"</f>
        <v>0014374</v>
      </c>
      <c r="G742">
        <v>1</v>
      </c>
      <c r="H742" t="str">
        <f>"00000001"</f>
        <v>00000001</v>
      </c>
      <c r="I742" t="s">
        <v>35</v>
      </c>
      <c r="J742"/>
      <c r="K742">
        <v>7.63</v>
      </c>
      <c r="L742">
        <v>0.0</v>
      </c>
      <c r="M742"/>
      <c r="N742"/>
      <c r="O742">
        <v>1.37</v>
      </c>
      <c r="P742">
        <v>0.0</v>
      </c>
      <c r="Q742">
        <v>9.0</v>
      </c>
      <c r="R742"/>
      <c r="S742"/>
      <c r="T742"/>
      <c r="U742"/>
      <c r="V742"/>
      <c r="W742">
        <v>18</v>
      </c>
    </row>
    <row r="743" spans="1:23">
      <c r="A743"/>
      <c r="B743" t="s">
        <v>101</v>
      </c>
      <c r="C743" t="s">
        <v>101</v>
      </c>
      <c r="D743" t="s">
        <v>33</v>
      </c>
      <c r="E743" t="s">
        <v>34</v>
      </c>
      <c r="F743" t="str">
        <f>"0014375"</f>
        <v>0014375</v>
      </c>
      <c r="G743">
        <v>1</v>
      </c>
      <c r="H743" t="str">
        <f>"00000001"</f>
        <v>00000001</v>
      </c>
      <c r="I743" t="s">
        <v>35</v>
      </c>
      <c r="J743"/>
      <c r="K743">
        <v>1.69</v>
      </c>
      <c r="L743">
        <v>0.0</v>
      </c>
      <c r="M743"/>
      <c r="N743"/>
      <c r="O743">
        <v>0.31</v>
      </c>
      <c r="P743">
        <v>0.0</v>
      </c>
      <c r="Q743">
        <v>2.0</v>
      </c>
      <c r="R743"/>
      <c r="S743"/>
      <c r="T743"/>
      <c r="U743"/>
      <c r="V743"/>
      <c r="W743">
        <v>18</v>
      </c>
    </row>
    <row r="744" spans="1:23">
      <c r="A744"/>
      <c r="B744" t="s">
        <v>101</v>
      </c>
      <c r="C744" t="s">
        <v>101</v>
      </c>
      <c r="D744" t="s">
        <v>33</v>
      </c>
      <c r="E744" t="s">
        <v>34</v>
      </c>
      <c r="F744" t="str">
        <f>"0014376"</f>
        <v>0014376</v>
      </c>
      <c r="G744">
        <v>1</v>
      </c>
      <c r="H744" t="str">
        <f>"00000001"</f>
        <v>00000001</v>
      </c>
      <c r="I744" t="s">
        <v>35</v>
      </c>
      <c r="J744"/>
      <c r="K744">
        <v>16.95</v>
      </c>
      <c r="L744">
        <v>0.0</v>
      </c>
      <c r="M744"/>
      <c r="N744"/>
      <c r="O744">
        <v>3.05</v>
      </c>
      <c r="P744">
        <v>0.0</v>
      </c>
      <c r="Q744">
        <v>20.0</v>
      </c>
      <c r="R744"/>
      <c r="S744"/>
      <c r="T744"/>
      <c r="U744"/>
      <c r="V744"/>
      <c r="W744">
        <v>18</v>
      </c>
    </row>
    <row r="745" spans="1:23">
      <c r="A745"/>
      <c r="B745" t="s">
        <v>101</v>
      </c>
      <c r="C745" t="s">
        <v>101</v>
      </c>
      <c r="D745" t="s">
        <v>33</v>
      </c>
      <c r="E745" t="s">
        <v>34</v>
      </c>
      <c r="F745" t="str">
        <f>"0014377"</f>
        <v>0014377</v>
      </c>
      <c r="G745">
        <v>1</v>
      </c>
      <c r="H745" t="str">
        <f>"00000001"</f>
        <v>00000001</v>
      </c>
      <c r="I745" t="s">
        <v>35</v>
      </c>
      <c r="J745"/>
      <c r="K745">
        <v>5.08</v>
      </c>
      <c r="L745">
        <v>0.0</v>
      </c>
      <c r="M745"/>
      <c r="N745"/>
      <c r="O745">
        <v>0.92</v>
      </c>
      <c r="P745">
        <v>0.0</v>
      </c>
      <c r="Q745">
        <v>6.0</v>
      </c>
      <c r="R745"/>
      <c r="S745"/>
      <c r="T745"/>
      <c r="U745"/>
      <c r="V745"/>
      <c r="W745">
        <v>18</v>
      </c>
    </row>
    <row r="746" spans="1:23">
      <c r="A746"/>
      <c r="B746" t="s">
        <v>101</v>
      </c>
      <c r="C746" t="s">
        <v>101</v>
      </c>
      <c r="D746" t="s">
        <v>33</v>
      </c>
      <c r="E746" t="s">
        <v>34</v>
      </c>
      <c r="F746" t="str">
        <f>"0014378"</f>
        <v>0014378</v>
      </c>
      <c r="G746">
        <v>1</v>
      </c>
      <c r="H746" t="str">
        <f>"00000001"</f>
        <v>00000001</v>
      </c>
      <c r="I746" t="s">
        <v>35</v>
      </c>
      <c r="J746"/>
      <c r="K746">
        <v>9.32</v>
      </c>
      <c r="L746">
        <v>0.0</v>
      </c>
      <c r="M746"/>
      <c r="N746"/>
      <c r="O746">
        <v>1.68</v>
      </c>
      <c r="P746">
        <v>0.0</v>
      </c>
      <c r="Q746">
        <v>11.0</v>
      </c>
      <c r="R746"/>
      <c r="S746"/>
      <c r="T746"/>
      <c r="U746"/>
      <c r="V746"/>
      <c r="W746">
        <v>18</v>
      </c>
    </row>
    <row r="747" spans="1:23">
      <c r="A747"/>
      <c r="B747" t="s">
        <v>101</v>
      </c>
      <c r="C747" t="s">
        <v>101</v>
      </c>
      <c r="D747" t="s">
        <v>33</v>
      </c>
      <c r="E747" t="s">
        <v>34</v>
      </c>
      <c r="F747" t="str">
        <f>"0014379"</f>
        <v>0014379</v>
      </c>
      <c r="G747">
        <v>1</v>
      </c>
      <c r="H747" t="str">
        <f>"00000001"</f>
        <v>00000001</v>
      </c>
      <c r="I747" t="s">
        <v>35</v>
      </c>
      <c r="J747"/>
      <c r="K747">
        <v>30.51</v>
      </c>
      <c r="L747">
        <v>0.0</v>
      </c>
      <c r="M747"/>
      <c r="N747"/>
      <c r="O747">
        <v>5.49</v>
      </c>
      <c r="P747">
        <v>0.0</v>
      </c>
      <c r="Q747">
        <v>36.0</v>
      </c>
      <c r="R747"/>
      <c r="S747"/>
      <c r="T747"/>
      <c r="U747"/>
      <c r="V747"/>
      <c r="W747">
        <v>18</v>
      </c>
    </row>
    <row r="748" spans="1:23">
      <c r="A748"/>
      <c r="B748" t="s">
        <v>101</v>
      </c>
      <c r="C748" t="s">
        <v>101</v>
      </c>
      <c r="D748" t="s">
        <v>33</v>
      </c>
      <c r="E748" t="s">
        <v>34</v>
      </c>
      <c r="F748" t="str">
        <f>"0014380"</f>
        <v>0014380</v>
      </c>
      <c r="G748">
        <v>1</v>
      </c>
      <c r="H748" t="str">
        <f>"00000001"</f>
        <v>00000001</v>
      </c>
      <c r="I748" t="s">
        <v>35</v>
      </c>
      <c r="J748"/>
      <c r="K748">
        <v>40.68</v>
      </c>
      <c r="L748">
        <v>0.0</v>
      </c>
      <c r="M748"/>
      <c r="N748"/>
      <c r="O748">
        <v>7.32</v>
      </c>
      <c r="P748">
        <v>0.0</v>
      </c>
      <c r="Q748">
        <v>48.0</v>
      </c>
      <c r="R748"/>
      <c r="S748"/>
      <c r="T748"/>
      <c r="U748"/>
      <c r="V748"/>
      <c r="W748">
        <v>18</v>
      </c>
    </row>
    <row r="749" spans="1:23">
      <c r="A749"/>
      <c r="B749" t="s">
        <v>101</v>
      </c>
      <c r="C749" t="s">
        <v>101</v>
      </c>
      <c r="D749" t="s">
        <v>33</v>
      </c>
      <c r="E749" t="s">
        <v>34</v>
      </c>
      <c r="F749" t="str">
        <f>"0014381"</f>
        <v>0014381</v>
      </c>
      <c r="G749">
        <v>1</v>
      </c>
      <c r="H749" t="str">
        <f>"00000001"</f>
        <v>00000001</v>
      </c>
      <c r="I749" t="s">
        <v>35</v>
      </c>
      <c r="J749"/>
      <c r="K749">
        <v>3.39</v>
      </c>
      <c r="L749">
        <v>0.0</v>
      </c>
      <c r="M749"/>
      <c r="N749"/>
      <c r="O749">
        <v>0.61</v>
      </c>
      <c r="P749">
        <v>0.0</v>
      </c>
      <c r="Q749">
        <v>4.0</v>
      </c>
      <c r="R749"/>
      <c r="S749"/>
      <c r="T749"/>
      <c r="U749"/>
      <c r="V749"/>
      <c r="W749">
        <v>18</v>
      </c>
    </row>
    <row r="750" spans="1:23">
      <c r="A750"/>
      <c r="B750" t="s">
        <v>101</v>
      </c>
      <c r="C750" t="s">
        <v>101</v>
      </c>
      <c r="D750" t="s">
        <v>33</v>
      </c>
      <c r="E750" t="s">
        <v>34</v>
      </c>
      <c r="F750" t="str">
        <f>"0014382"</f>
        <v>0014382</v>
      </c>
      <c r="G750">
        <v>1</v>
      </c>
      <c r="H750" t="str">
        <f>"00000001"</f>
        <v>00000001</v>
      </c>
      <c r="I750" t="s">
        <v>35</v>
      </c>
      <c r="J750"/>
      <c r="K750">
        <v>33.9</v>
      </c>
      <c r="L750">
        <v>0.0</v>
      </c>
      <c r="M750"/>
      <c r="N750"/>
      <c r="O750">
        <v>6.1</v>
      </c>
      <c r="P750">
        <v>0.0</v>
      </c>
      <c r="Q750">
        <v>40.0</v>
      </c>
      <c r="R750"/>
      <c r="S750"/>
      <c r="T750"/>
      <c r="U750"/>
      <c r="V750"/>
      <c r="W750">
        <v>18</v>
      </c>
    </row>
    <row r="751" spans="1:23">
      <c r="A751"/>
      <c r="B751" t="s">
        <v>101</v>
      </c>
      <c r="C751" t="s">
        <v>101</v>
      </c>
      <c r="D751" t="s">
        <v>33</v>
      </c>
      <c r="E751" t="s">
        <v>34</v>
      </c>
      <c r="F751" t="str">
        <f>"0014383"</f>
        <v>0014383</v>
      </c>
      <c r="G751">
        <v>1</v>
      </c>
      <c r="H751" t="str">
        <f>"00000001"</f>
        <v>00000001</v>
      </c>
      <c r="I751" t="s">
        <v>35</v>
      </c>
      <c r="J751"/>
      <c r="K751">
        <v>12.29</v>
      </c>
      <c r="L751">
        <v>0.0</v>
      </c>
      <c r="M751"/>
      <c r="N751"/>
      <c r="O751">
        <v>2.21</v>
      </c>
      <c r="P751">
        <v>0.0</v>
      </c>
      <c r="Q751">
        <v>14.5</v>
      </c>
      <c r="R751"/>
      <c r="S751"/>
      <c r="T751"/>
      <c r="U751"/>
      <c r="V751"/>
      <c r="W751">
        <v>18</v>
      </c>
    </row>
    <row r="752" spans="1:23">
      <c r="A752"/>
      <c r="B752" t="s">
        <v>101</v>
      </c>
      <c r="C752" t="s">
        <v>101</v>
      </c>
      <c r="D752" t="s">
        <v>33</v>
      </c>
      <c r="E752" t="s">
        <v>34</v>
      </c>
      <c r="F752" t="str">
        <f>"0014384"</f>
        <v>0014384</v>
      </c>
      <c r="G752">
        <v>1</v>
      </c>
      <c r="H752" t="str">
        <f>"00000001"</f>
        <v>00000001</v>
      </c>
      <c r="I752" t="s">
        <v>35</v>
      </c>
      <c r="J752"/>
      <c r="K752">
        <v>6.78</v>
      </c>
      <c r="L752">
        <v>0.0</v>
      </c>
      <c r="M752"/>
      <c r="N752"/>
      <c r="O752">
        <v>1.22</v>
      </c>
      <c r="P752">
        <v>0.0</v>
      </c>
      <c r="Q752">
        <v>8.0</v>
      </c>
      <c r="R752"/>
      <c r="S752"/>
      <c r="T752"/>
      <c r="U752"/>
      <c r="V752"/>
      <c r="W752">
        <v>18</v>
      </c>
    </row>
    <row r="753" spans="1:23">
      <c r="A753"/>
      <c r="B753" t="s">
        <v>101</v>
      </c>
      <c r="C753" t="s">
        <v>101</v>
      </c>
      <c r="D753" t="s">
        <v>33</v>
      </c>
      <c r="E753" t="s">
        <v>34</v>
      </c>
      <c r="F753" t="str">
        <f>"0014385"</f>
        <v>0014385</v>
      </c>
      <c r="G753">
        <v>1</v>
      </c>
      <c r="H753" t="str">
        <f>"00000001"</f>
        <v>00000001</v>
      </c>
      <c r="I753" t="s">
        <v>35</v>
      </c>
      <c r="J753"/>
      <c r="K753">
        <v>7.63</v>
      </c>
      <c r="L753">
        <v>0.0</v>
      </c>
      <c r="M753"/>
      <c r="N753"/>
      <c r="O753">
        <v>1.37</v>
      </c>
      <c r="P753">
        <v>0.0</v>
      </c>
      <c r="Q753">
        <v>9.0</v>
      </c>
      <c r="R753"/>
      <c r="S753"/>
      <c r="T753"/>
      <c r="U753"/>
      <c r="V753"/>
      <c r="W753">
        <v>18</v>
      </c>
    </row>
    <row r="754" spans="1:23">
      <c r="A754"/>
      <c r="B754" t="s">
        <v>101</v>
      </c>
      <c r="C754" t="s">
        <v>101</v>
      </c>
      <c r="D754" t="s">
        <v>33</v>
      </c>
      <c r="E754" t="s">
        <v>34</v>
      </c>
      <c r="F754" t="str">
        <f>"0014386"</f>
        <v>0014386</v>
      </c>
      <c r="G754">
        <v>1</v>
      </c>
      <c r="H754" t="str">
        <f>"00000001"</f>
        <v>00000001</v>
      </c>
      <c r="I754" t="s">
        <v>35</v>
      </c>
      <c r="J754"/>
      <c r="K754">
        <v>13.56</v>
      </c>
      <c r="L754">
        <v>0.0</v>
      </c>
      <c r="M754"/>
      <c r="N754"/>
      <c r="O754">
        <v>2.44</v>
      </c>
      <c r="P754">
        <v>0.0</v>
      </c>
      <c r="Q754">
        <v>16.0</v>
      </c>
      <c r="R754"/>
      <c r="S754"/>
      <c r="T754"/>
      <c r="U754"/>
      <c r="V754"/>
      <c r="W754">
        <v>18</v>
      </c>
    </row>
    <row r="755" spans="1:23">
      <c r="A755"/>
      <c r="B755" t="s">
        <v>101</v>
      </c>
      <c r="C755" t="s">
        <v>101</v>
      </c>
      <c r="D755" t="s">
        <v>33</v>
      </c>
      <c r="E755" t="s">
        <v>34</v>
      </c>
      <c r="F755" t="str">
        <f>"0014387"</f>
        <v>0014387</v>
      </c>
      <c r="G755">
        <v>1</v>
      </c>
      <c r="H755" t="str">
        <f>"00000001"</f>
        <v>00000001</v>
      </c>
      <c r="I755" t="s">
        <v>35</v>
      </c>
      <c r="J755"/>
      <c r="K755">
        <v>15.68</v>
      </c>
      <c r="L755">
        <v>0.0</v>
      </c>
      <c r="M755"/>
      <c r="N755"/>
      <c r="O755">
        <v>2.82</v>
      </c>
      <c r="P755">
        <v>0.0</v>
      </c>
      <c r="Q755">
        <v>18.5</v>
      </c>
      <c r="R755"/>
      <c r="S755"/>
      <c r="T755"/>
      <c r="U755"/>
      <c r="V755"/>
      <c r="W755">
        <v>18</v>
      </c>
    </row>
    <row r="756" spans="1:23">
      <c r="A756"/>
      <c r="B756" t="s">
        <v>101</v>
      </c>
      <c r="C756" t="s">
        <v>101</v>
      </c>
      <c r="D756" t="s">
        <v>33</v>
      </c>
      <c r="E756" t="s">
        <v>34</v>
      </c>
      <c r="F756" t="str">
        <f>"0014388"</f>
        <v>0014388</v>
      </c>
      <c r="G756">
        <v>1</v>
      </c>
      <c r="H756" t="str">
        <f>"00000001"</f>
        <v>00000001</v>
      </c>
      <c r="I756" t="s">
        <v>35</v>
      </c>
      <c r="J756"/>
      <c r="K756">
        <v>4.24</v>
      </c>
      <c r="L756">
        <v>0.0</v>
      </c>
      <c r="M756"/>
      <c r="N756"/>
      <c r="O756">
        <v>0.76</v>
      </c>
      <c r="P756">
        <v>0.0</v>
      </c>
      <c r="Q756">
        <v>5.0</v>
      </c>
      <c r="R756"/>
      <c r="S756"/>
      <c r="T756"/>
      <c r="U756"/>
      <c r="V756"/>
      <c r="W756">
        <v>18</v>
      </c>
    </row>
    <row r="757" spans="1:23">
      <c r="A757"/>
      <c r="B757" t="s">
        <v>101</v>
      </c>
      <c r="C757" t="s">
        <v>101</v>
      </c>
      <c r="D757" t="s">
        <v>33</v>
      </c>
      <c r="E757" t="s">
        <v>34</v>
      </c>
      <c r="F757" t="str">
        <f>"0014389"</f>
        <v>0014389</v>
      </c>
      <c r="G757">
        <v>1</v>
      </c>
      <c r="H757" t="str">
        <f>"00000001"</f>
        <v>00000001</v>
      </c>
      <c r="I757" t="s">
        <v>35</v>
      </c>
      <c r="J757"/>
      <c r="K757">
        <v>16.95</v>
      </c>
      <c r="L757">
        <v>0.0</v>
      </c>
      <c r="M757"/>
      <c r="N757"/>
      <c r="O757">
        <v>3.05</v>
      </c>
      <c r="P757">
        <v>0.0</v>
      </c>
      <c r="Q757">
        <v>20.0</v>
      </c>
      <c r="R757"/>
      <c r="S757"/>
      <c r="T757"/>
      <c r="U757"/>
      <c r="V757"/>
      <c r="W757">
        <v>18</v>
      </c>
    </row>
    <row r="758" spans="1:23">
      <c r="A758"/>
      <c r="B758" t="s">
        <v>101</v>
      </c>
      <c r="C758" t="s">
        <v>101</v>
      </c>
      <c r="D758" t="s">
        <v>33</v>
      </c>
      <c r="E758" t="s">
        <v>34</v>
      </c>
      <c r="F758" t="str">
        <f>"0014390"</f>
        <v>0014390</v>
      </c>
      <c r="G758">
        <v>1</v>
      </c>
      <c r="H758" t="str">
        <f>"00000001"</f>
        <v>00000001</v>
      </c>
      <c r="I758" t="s">
        <v>35</v>
      </c>
      <c r="J758"/>
      <c r="K758">
        <v>8.47</v>
      </c>
      <c r="L758">
        <v>0.0</v>
      </c>
      <c r="M758"/>
      <c r="N758"/>
      <c r="O758">
        <v>1.53</v>
      </c>
      <c r="P758">
        <v>0.0</v>
      </c>
      <c r="Q758">
        <v>10.0</v>
      </c>
      <c r="R758"/>
      <c r="S758"/>
      <c r="T758"/>
      <c r="U758"/>
      <c r="V758"/>
      <c r="W758">
        <v>18</v>
      </c>
    </row>
    <row r="759" spans="1:23">
      <c r="A759"/>
      <c r="B759" t="s">
        <v>101</v>
      </c>
      <c r="C759" t="s">
        <v>101</v>
      </c>
      <c r="D759" t="s">
        <v>33</v>
      </c>
      <c r="E759" t="s">
        <v>34</v>
      </c>
      <c r="F759" t="str">
        <f>"0014391"</f>
        <v>0014391</v>
      </c>
      <c r="G759">
        <v>1</v>
      </c>
      <c r="H759" t="str">
        <f>"00000001"</f>
        <v>00000001</v>
      </c>
      <c r="I759" t="s">
        <v>35</v>
      </c>
      <c r="J759"/>
      <c r="K759">
        <v>6.78</v>
      </c>
      <c r="L759">
        <v>0.0</v>
      </c>
      <c r="M759"/>
      <c r="N759"/>
      <c r="O759">
        <v>1.22</v>
      </c>
      <c r="P759">
        <v>0.0</v>
      </c>
      <c r="Q759">
        <v>8.0</v>
      </c>
      <c r="R759"/>
      <c r="S759"/>
      <c r="T759"/>
      <c r="U759"/>
      <c r="V759"/>
      <c r="W759">
        <v>18</v>
      </c>
    </row>
    <row r="760" spans="1:23">
      <c r="A760"/>
      <c r="B760" t="s">
        <v>101</v>
      </c>
      <c r="C760" t="s">
        <v>101</v>
      </c>
      <c r="D760" t="s">
        <v>33</v>
      </c>
      <c r="E760" t="s">
        <v>34</v>
      </c>
      <c r="F760" t="str">
        <f>"0014392"</f>
        <v>0014392</v>
      </c>
      <c r="G760">
        <v>1</v>
      </c>
      <c r="H760" t="str">
        <f>"00000001"</f>
        <v>00000001</v>
      </c>
      <c r="I760" t="s">
        <v>35</v>
      </c>
      <c r="J760"/>
      <c r="K760">
        <v>6.36</v>
      </c>
      <c r="L760">
        <v>0.0</v>
      </c>
      <c r="M760"/>
      <c r="N760"/>
      <c r="O760">
        <v>1.14</v>
      </c>
      <c r="P760">
        <v>0.0</v>
      </c>
      <c r="Q760">
        <v>7.5</v>
      </c>
      <c r="R760"/>
      <c r="S760"/>
      <c r="T760"/>
      <c r="U760"/>
      <c r="V760"/>
      <c r="W760">
        <v>18</v>
      </c>
    </row>
    <row r="761" spans="1:23">
      <c r="A761"/>
      <c r="B761" t="s">
        <v>101</v>
      </c>
      <c r="C761" t="s">
        <v>101</v>
      </c>
      <c r="D761" t="s">
        <v>33</v>
      </c>
      <c r="E761" t="s">
        <v>34</v>
      </c>
      <c r="F761" t="str">
        <f>"0014393"</f>
        <v>0014393</v>
      </c>
      <c r="G761">
        <v>1</v>
      </c>
      <c r="H761" t="str">
        <f>"00000001"</f>
        <v>00000001</v>
      </c>
      <c r="I761" t="s">
        <v>35</v>
      </c>
      <c r="J761"/>
      <c r="K761">
        <v>2.54</v>
      </c>
      <c r="L761">
        <v>0.0</v>
      </c>
      <c r="M761"/>
      <c r="N761"/>
      <c r="O761">
        <v>0.46</v>
      </c>
      <c r="P761">
        <v>0.0</v>
      </c>
      <c r="Q761">
        <v>3.0</v>
      </c>
      <c r="R761"/>
      <c r="S761"/>
      <c r="T761"/>
      <c r="U761"/>
      <c r="V761"/>
      <c r="W761">
        <v>18</v>
      </c>
    </row>
    <row r="762" spans="1:23">
      <c r="A762"/>
      <c r="B762" t="s">
        <v>101</v>
      </c>
      <c r="C762" t="s">
        <v>101</v>
      </c>
      <c r="D762" t="s">
        <v>33</v>
      </c>
      <c r="E762" t="s">
        <v>34</v>
      </c>
      <c r="F762" t="str">
        <f>"0014394"</f>
        <v>0014394</v>
      </c>
      <c r="G762">
        <v>1</v>
      </c>
      <c r="H762" t="str">
        <f>"00000001"</f>
        <v>00000001</v>
      </c>
      <c r="I762" t="s">
        <v>35</v>
      </c>
      <c r="J762"/>
      <c r="K762">
        <v>4.24</v>
      </c>
      <c r="L762">
        <v>0.0</v>
      </c>
      <c r="M762"/>
      <c r="N762"/>
      <c r="O762">
        <v>0.76</v>
      </c>
      <c r="P762">
        <v>0.0</v>
      </c>
      <c r="Q762">
        <v>5.0</v>
      </c>
      <c r="R762"/>
      <c r="S762"/>
      <c r="T762"/>
      <c r="U762"/>
      <c r="V762"/>
      <c r="W762">
        <v>18</v>
      </c>
    </row>
    <row r="763" spans="1:23">
      <c r="A763"/>
      <c r="B763" t="s">
        <v>101</v>
      </c>
      <c r="C763" t="s">
        <v>101</v>
      </c>
      <c r="D763" t="s">
        <v>33</v>
      </c>
      <c r="E763" t="s">
        <v>34</v>
      </c>
      <c r="F763" t="str">
        <f>"0014395"</f>
        <v>0014395</v>
      </c>
      <c r="G763">
        <v>1</v>
      </c>
      <c r="H763" t="str">
        <f>"00000001"</f>
        <v>00000001</v>
      </c>
      <c r="I763" t="s">
        <v>35</v>
      </c>
      <c r="J763"/>
      <c r="K763">
        <v>25.42</v>
      </c>
      <c r="L763">
        <v>0.0</v>
      </c>
      <c r="M763"/>
      <c r="N763"/>
      <c r="O763">
        <v>4.58</v>
      </c>
      <c r="P763">
        <v>0.0</v>
      </c>
      <c r="Q763">
        <v>30.0</v>
      </c>
      <c r="R763"/>
      <c r="S763"/>
      <c r="T763"/>
      <c r="U763"/>
      <c r="V763"/>
      <c r="W763">
        <v>18</v>
      </c>
    </row>
    <row r="764" spans="1:23">
      <c r="A764"/>
      <c r="B764" t="s">
        <v>101</v>
      </c>
      <c r="C764" t="s">
        <v>101</v>
      </c>
      <c r="D764" t="s">
        <v>33</v>
      </c>
      <c r="E764" t="s">
        <v>34</v>
      </c>
      <c r="F764" t="str">
        <f>"0014396"</f>
        <v>0014396</v>
      </c>
      <c r="G764">
        <v>1</v>
      </c>
      <c r="H764" t="str">
        <f>"00000001"</f>
        <v>00000001</v>
      </c>
      <c r="I764" t="s">
        <v>35</v>
      </c>
      <c r="J764"/>
      <c r="K764">
        <v>38.14</v>
      </c>
      <c r="L764">
        <v>0.0</v>
      </c>
      <c r="M764"/>
      <c r="N764"/>
      <c r="O764">
        <v>6.86</v>
      </c>
      <c r="P764">
        <v>0.0</v>
      </c>
      <c r="Q764">
        <v>45.0</v>
      </c>
      <c r="R764"/>
      <c r="S764"/>
      <c r="T764"/>
      <c r="U764"/>
      <c r="V764"/>
      <c r="W764">
        <v>18</v>
      </c>
    </row>
    <row r="765" spans="1:23">
      <c r="A765"/>
      <c r="B765" t="s">
        <v>101</v>
      </c>
      <c r="C765" t="s">
        <v>101</v>
      </c>
      <c r="D765" t="s">
        <v>33</v>
      </c>
      <c r="E765" t="s">
        <v>34</v>
      </c>
      <c r="F765" t="str">
        <f>"0014397"</f>
        <v>0014397</v>
      </c>
      <c r="G765">
        <v>1</v>
      </c>
      <c r="H765" t="str">
        <f>"00000001"</f>
        <v>00000001</v>
      </c>
      <c r="I765" t="s">
        <v>35</v>
      </c>
      <c r="J765"/>
      <c r="K765">
        <v>3.81</v>
      </c>
      <c r="L765">
        <v>0.0</v>
      </c>
      <c r="M765"/>
      <c r="N765"/>
      <c r="O765">
        <v>0.69</v>
      </c>
      <c r="P765">
        <v>0.0</v>
      </c>
      <c r="Q765">
        <v>4.5</v>
      </c>
      <c r="R765"/>
      <c r="S765"/>
      <c r="T765"/>
      <c r="U765"/>
      <c r="V765"/>
      <c r="W765">
        <v>18</v>
      </c>
    </row>
    <row r="766" spans="1:23">
      <c r="A766"/>
      <c r="B766" t="s">
        <v>101</v>
      </c>
      <c r="C766" t="s">
        <v>101</v>
      </c>
      <c r="D766" t="s">
        <v>33</v>
      </c>
      <c r="E766" t="s">
        <v>34</v>
      </c>
      <c r="F766" t="str">
        <f>"0014398"</f>
        <v>0014398</v>
      </c>
      <c r="G766">
        <v>1</v>
      </c>
      <c r="H766" t="str">
        <f>"00000001"</f>
        <v>00000001</v>
      </c>
      <c r="I766" t="s">
        <v>35</v>
      </c>
      <c r="J766"/>
      <c r="K766">
        <v>55.93</v>
      </c>
      <c r="L766">
        <v>0.0</v>
      </c>
      <c r="M766"/>
      <c r="N766"/>
      <c r="O766">
        <v>10.07</v>
      </c>
      <c r="P766">
        <v>0.0</v>
      </c>
      <c r="Q766">
        <v>66.0</v>
      </c>
      <c r="R766"/>
      <c r="S766"/>
      <c r="T766"/>
      <c r="U766"/>
      <c r="V766"/>
      <c r="W766">
        <v>18</v>
      </c>
    </row>
    <row r="767" spans="1:23">
      <c r="A767"/>
      <c r="B767" t="s">
        <v>101</v>
      </c>
      <c r="C767" t="s">
        <v>101</v>
      </c>
      <c r="D767" t="s">
        <v>33</v>
      </c>
      <c r="E767" t="s">
        <v>34</v>
      </c>
      <c r="F767" t="str">
        <f>"0014399"</f>
        <v>0014399</v>
      </c>
      <c r="G767">
        <v>1</v>
      </c>
      <c r="H767" t="str">
        <f>"00000001"</f>
        <v>00000001</v>
      </c>
      <c r="I767" t="s">
        <v>35</v>
      </c>
      <c r="J767"/>
      <c r="K767">
        <v>8.47</v>
      </c>
      <c r="L767">
        <v>0.0</v>
      </c>
      <c r="M767"/>
      <c r="N767"/>
      <c r="O767">
        <v>1.53</v>
      </c>
      <c r="P767">
        <v>0.0</v>
      </c>
      <c r="Q767">
        <v>10.0</v>
      </c>
      <c r="R767"/>
      <c r="S767"/>
      <c r="T767"/>
      <c r="U767"/>
      <c r="V767"/>
      <c r="W767">
        <v>18</v>
      </c>
    </row>
    <row r="768" spans="1:23">
      <c r="A768"/>
      <c r="B768" t="s">
        <v>101</v>
      </c>
      <c r="C768" t="s">
        <v>101</v>
      </c>
      <c r="D768" t="s">
        <v>33</v>
      </c>
      <c r="E768" t="s">
        <v>34</v>
      </c>
      <c r="F768" t="str">
        <f>"0014400"</f>
        <v>0014400</v>
      </c>
      <c r="G768">
        <v>1</v>
      </c>
      <c r="H768" t="str">
        <f>"00000001"</f>
        <v>00000001</v>
      </c>
      <c r="I768" t="s">
        <v>35</v>
      </c>
      <c r="J768"/>
      <c r="K768">
        <v>4.24</v>
      </c>
      <c r="L768">
        <v>0.0</v>
      </c>
      <c r="M768"/>
      <c r="N768"/>
      <c r="O768">
        <v>0.76</v>
      </c>
      <c r="P768">
        <v>0.0</v>
      </c>
      <c r="Q768">
        <v>5.0</v>
      </c>
      <c r="R768"/>
      <c r="S768"/>
      <c r="T768"/>
      <c r="U768"/>
      <c r="V768"/>
      <c r="W768">
        <v>18</v>
      </c>
    </row>
    <row r="769" spans="1:23">
      <c r="A769"/>
      <c r="B769" t="s">
        <v>101</v>
      </c>
      <c r="C769" t="s">
        <v>101</v>
      </c>
      <c r="D769" t="s">
        <v>33</v>
      </c>
      <c r="E769" t="s">
        <v>34</v>
      </c>
      <c r="F769" t="str">
        <f>"0014401"</f>
        <v>0014401</v>
      </c>
      <c r="G769">
        <v>1</v>
      </c>
      <c r="H769" t="str">
        <f>"00000001"</f>
        <v>00000001</v>
      </c>
      <c r="I769" t="s">
        <v>35</v>
      </c>
      <c r="J769"/>
      <c r="K769">
        <v>10.17</v>
      </c>
      <c r="L769">
        <v>0.0</v>
      </c>
      <c r="M769"/>
      <c r="N769"/>
      <c r="O769">
        <v>1.83</v>
      </c>
      <c r="P769">
        <v>0.0</v>
      </c>
      <c r="Q769">
        <v>12.0</v>
      </c>
      <c r="R769"/>
      <c r="S769"/>
      <c r="T769"/>
      <c r="U769"/>
      <c r="V769"/>
      <c r="W769">
        <v>18</v>
      </c>
    </row>
    <row r="770" spans="1:23">
      <c r="A770"/>
      <c r="B770" t="s">
        <v>101</v>
      </c>
      <c r="C770" t="s">
        <v>101</v>
      </c>
      <c r="D770" t="s">
        <v>33</v>
      </c>
      <c r="E770" t="s">
        <v>34</v>
      </c>
      <c r="F770" t="str">
        <f>"0014402"</f>
        <v>0014402</v>
      </c>
      <c r="G770">
        <v>1</v>
      </c>
      <c r="H770" t="str">
        <f>"00000001"</f>
        <v>00000001</v>
      </c>
      <c r="I770" t="s">
        <v>35</v>
      </c>
      <c r="J770"/>
      <c r="K770">
        <v>27.12</v>
      </c>
      <c r="L770">
        <v>0.0</v>
      </c>
      <c r="M770"/>
      <c r="N770"/>
      <c r="O770">
        <v>4.88</v>
      </c>
      <c r="P770">
        <v>0.0</v>
      </c>
      <c r="Q770">
        <v>32.0</v>
      </c>
      <c r="R770"/>
      <c r="S770"/>
      <c r="T770"/>
      <c r="U770"/>
      <c r="V770"/>
      <c r="W770">
        <v>18</v>
      </c>
    </row>
    <row r="771" spans="1:23">
      <c r="A771"/>
      <c r="B771" t="s">
        <v>101</v>
      </c>
      <c r="C771" t="s">
        <v>101</v>
      </c>
      <c r="D771" t="s">
        <v>33</v>
      </c>
      <c r="E771" t="s">
        <v>34</v>
      </c>
      <c r="F771" t="str">
        <f>"0014403"</f>
        <v>0014403</v>
      </c>
      <c r="G771">
        <v>1</v>
      </c>
      <c r="H771" t="str">
        <f>"00000001"</f>
        <v>00000001</v>
      </c>
      <c r="I771" t="s">
        <v>35</v>
      </c>
      <c r="J771"/>
      <c r="K771">
        <v>8.47</v>
      </c>
      <c r="L771">
        <v>0.0</v>
      </c>
      <c r="M771"/>
      <c r="N771"/>
      <c r="O771">
        <v>1.53</v>
      </c>
      <c r="P771">
        <v>0.0</v>
      </c>
      <c r="Q771">
        <v>10.0</v>
      </c>
      <c r="R771"/>
      <c r="S771"/>
      <c r="T771"/>
      <c r="U771"/>
      <c r="V771"/>
      <c r="W771">
        <v>18</v>
      </c>
    </row>
    <row r="772" spans="1:23">
      <c r="A772"/>
      <c r="B772" t="s">
        <v>101</v>
      </c>
      <c r="C772" t="s">
        <v>101</v>
      </c>
      <c r="D772" t="s">
        <v>33</v>
      </c>
      <c r="E772" t="s">
        <v>34</v>
      </c>
      <c r="F772" t="str">
        <f>"0014404"</f>
        <v>0014404</v>
      </c>
      <c r="G772">
        <v>1</v>
      </c>
      <c r="H772" t="str">
        <f>"00000001"</f>
        <v>00000001</v>
      </c>
      <c r="I772" t="s">
        <v>35</v>
      </c>
      <c r="J772"/>
      <c r="K772">
        <v>12.71</v>
      </c>
      <c r="L772">
        <v>0.0</v>
      </c>
      <c r="M772"/>
      <c r="N772"/>
      <c r="O772">
        <v>2.29</v>
      </c>
      <c r="P772">
        <v>0.0</v>
      </c>
      <c r="Q772">
        <v>15.0</v>
      </c>
      <c r="R772"/>
      <c r="S772"/>
      <c r="T772"/>
      <c r="U772"/>
      <c r="V772"/>
      <c r="W772">
        <v>18</v>
      </c>
    </row>
    <row r="773" spans="1:23">
      <c r="A773"/>
      <c r="B773" t="s">
        <v>101</v>
      </c>
      <c r="C773" t="s">
        <v>101</v>
      </c>
      <c r="D773" t="s">
        <v>33</v>
      </c>
      <c r="E773" t="s">
        <v>34</v>
      </c>
      <c r="F773" t="str">
        <f>"0014405"</f>
        <v>0014405</v>
      </c>
      <c r="G773">
        <v>1</v>
      </c>
      <c r="H773" t="str">
        <f>"00000001"</f>
        <v>00000001</v>
      </c>
      <c r="I773" t="s">
        <v>35</v>
      </c>
      <c r="J773"/>
      <c r="K773">
        <v>25.42</v>
      </c>
      <c r="L773">
        <v>0.0</v>
      </c>
      <c r="M773"/>
      <c r="N773"/>
      <c r="O773">
        <v>4.58</v>
      </c>
      <c r="P773">
        <v>0.0</v>
      </c>
      <c r="Q773">
        <v>30.0</v>
      </c>
      <c r="R773"/>
      <c r="S773"/>
      <c r="T773"/>
      <c r="U773"/>
      <c r="V773"/>
      <c r="W773">
        <v>18</v>
      </c>
    </row>
    <row r="774" spans="1:23">
      <c r="A774"/>
      <c r="B774" t="s">
        <v>101</v>
      </c>
      <c r="C774" t="s">
        <v>101</v>
      </c>
      <c r="D774" t="s">
        <v>33</v>
      </c>
      <c r="E774" t="s">
        <v>34</v>
      </c>
      <c r="F774" t="str">
        <f>"0014406"</f>
        <v>0014406</v>
      </c>
      <c r="G774">
        <v>1</v>
      </c>
      <c r="H774" t="str">
        <f>"00000001"</f>
        <v>00000001</v>
      </c>
      <c r="I774" t="s">
        <v>35</v>
      </c>
      <c r="J774"/>
      <c r="K774">
        <v>8.47</v>
      </c>
      <c r="L774">
        <v>0.0</v>
      </c>
      <c r="M774"/>
      <c r="N774"/>
      <c r="O774">
        <v>1.53</v>
      </c>
      <c r="P774">
        <v>0.0</v>
      </c>
      <c r="Q774">
        <v>10.0</v>
      </c>
      <c r="R774"/>
      <c r="S774"/>
      <c r="T774"/>
      <c r="U774"/>
      <c r="V774"/>
      <c r="W774">
        <v>18</v>
      </c>
    </row>
    <row r="775" spans="1:23">
      <c r="A775"/>
      <c r="B775" t="s">
        <v>101</v>
      </c>
      <c r="C775" t="s">
        <v>101</v>
      </c>
      <c r="D775" t="s">
        <v>33</v>
      </c>
      <c r="E775" t="s">
        <v>34</v>
      </c>
      <c r="F775" t="str">
        <f>"0014407"</f>
        <v>0014407</v>
      </c>
      <c r="G775">
        <v>1</v>
      </c>
      <c r="H775" t="str">
        <f>"00000001"</f>
        <v>00000001</v>
      </c>
      <c r="I775" t="s">
        <v>35</v>
      </c>
      <c r="J775"/>
      <c r="K775">
        <v>10.17</v>
      </c>
      <c r="L775">
        <v>0.0</v>
      </c>
      <c r="M775"/>
      <c r="N775"/>
      <c r="O775">
        <v>1.83</v>
      </c>
      <c r="P775">
        <v>0.0</v>
      </c>
      <c r="Q775">
        <v>12.0</v>
      </c>
      <c r="R775"/>
      <c r="S775"/>
      <c r="T775"/>
      <c r="U775"/>
      <c r="V775"/>
      <c r="W775">
        <v>18</v>
      </c>
    </row>
    <row r="776" spans="1:23">
      <c r="A776"/>
      <c r="B776" t="s">
        <v>101</v>
      </c>
      <c r="C776" t="s">
        <v>101</v>
      </c>
      <c r="D776" t="s">
        <v>33</v>
      </c>
      <c r="E776" t="s">
        <v>34</v>
      </c>
      <c r="F776" t="str">
        <f>"0014408"</f>
        <v>0014408</v>
      </c>
      <c r="G776">
        <v>1</v>
      </c>
      <c r="H776" t="str">
        <f>"00000001"</f>
        <v>00000001</v>
      </c>
      <c r="I776" t="s">
        <v>35</v>
      </c>
      <c r="J776"/>
      <c r="K776">
        <v>12.71</v>
      </c>
      <c r="L776">
        <v>0.0</v>
      </c>
      <c r="M776"/>
      <c r="N776"/>
      <c r="O776">
        <v>2.29</v>
      </c>
      <c r="P776">
        <v>0.0</v>
      </c>
      <c r="Q776">
        <v>15.0</v>
      </c>
      <c r="R776"/>
      <c r="S776"/>
      <c r="T776"/>
      <c r="U776"/>
      <c r="V776"/>
      <c r="W776">
        <v>18</v>
      </c>
    </row>
    <row r="777" spans="1:23">
      <c r="A777"/>
      <c r="B777" t="s">
        <v>101</v>
      </c>
      <c r="C777" t="s">
        <v>101</v>
      </c>
      <c r="D777" t="s">
        <v>33</v>
      </c>
      <c r="E777" t="s">
        <v>34</v>
      </c>
      <c r="F777" t="str">
        <f>"0014409"</f>
        <v>0014409</v>
      </c>
      <c r="G777">
        <v>1</v>
      </c>
      <c r="H777" t="str">
        <f>"00000001"</f>
        <v>00000001</v>
      </c>
      <c r="I777" t="s">
        <v>35</v>
      </c>
      <c r="J777"/>
      <c r="K777">
        <v>12.71</v>
      </c>
      <c r="L777">
        <v>0.0</v>
      </c>
      <c r="M777"/>
      <c r="N777"/>
      <c r="O777">
        <v>2.29</v>
      </c>
      <c r="P777">
        <v>0.0</v>
      </c>
      <c r="Q777">
        <v>15.0</v>
      </c>
      <c r="R777"/>
      <c r="S777"/>
      <c r="T777"/>
      <c r="U777"/>
      <c r="V777"/>
      <c r="W777">
        <v>18</v>
      </c>
    </row>
    <row r="778" spans="1:23">
      <c r="A778"/>
      <c r="B778" t="s">
        <v>101</v>
      </c>
      <c r="C778" t="s">
        <v>101</v>
      </c>
      <c r="D778" t="s">
        <v>33</v>
      </c>
      <c r="E778" t="s">
        <v>34</v>
      </c>
      <c r="F778" t="str">
        <f>"0014410"</f>
        <v>0014410</v>
      </c>
      <c r="G778">
        <v>1</v>
      </c>
      <c r="H778" t="str">
        <f>"00000001"</f>
        <v>00000001</v>
      </c>
      <c r="I778" t="s">
        <v>35</v>
      </c>
      <c r="J778"/>
      <c r="K778">
        <v>8.47</v>
      </c>
      <c r="L778">
        <v>0.0</v>
      </c>
      <c r="M778"/>
      <c r="N778"/>
      <c r="O778">
        <v>1.53</v>
      </c>
      <c r="P778">
        <v>0.0</v>
      </c>
      <c r="Q778">
        <v>10.0</v>
      </c>
      <c r="R778"/>
      <c r="S778"/>
      <c r="T778"/>
      <c r="U778"/>
      <c r="V778"/>
      <c r="W778">
        <v>18</v>
      </c>
    </row>
    <row r="779" spans="1:23">
      <c r="A779"/>
      <c r="B779" t="s">
        <v>101</v>
      </c>
      <c r="C779" t="s">
        <v>101</v>
      </c>
      <c r="D779" t="s">
        <v>33</v>
      </c>
      <c r="E779" t="s">
        <v>34</v>
      </c>
      <c r="F779" t="str">
        <f>"0014411"</f>
        <v>0014411</v>
      </c>
      <c r="G779">
        <v>1</v>
      </c>
      <c r="H779" t="str">
        <f>"00000001"</f>
        <v>00000001</v>
      </c>
      <c r="I779" t="s">
        <v>35</v>
      </c>
      <c r="J779"/>
      <c r="K779">
        <v>4.24</v>
      </c>
      <c r="L779">
        <v>0.0</v>
      </c>
      <c r="M779"/>
      <c r="N779"/>
      <c r="O779">
        <v>0.76</v>
      </c>
      <c r="P779">
        <v>0.0</v>
      </c>
      <c r="Q779">
        <v>5.0</v>
      </c>
      <c r="R779"/>
      <c r="S779"/>
      <c r="T779"/>
      <c r="U779"/>
      <c r="V779"/>
      <c r="W779">
        <v>18</v>
      </c>
    </row>
    <row r="780" spans="1:23">
      <c r="A780"/>
      <c r="B780" t="s">
        <v>101</v>
      </c>
      <c r="C780" t="s">
        <v>101</v>
      </c>
      <c r="D780" t="s">
        <v>33</v>
      </c>
      <c r="E780" t="s">
        <v>34</v>
      </c>
      <c r="F780" t="str">
        <f>"0014412"</f>
        <v>0014412</v>
      </c>
      <c r="G780">
        <v>1</v>
      </c>
      <c r="H780" t="str">
        <f>"00000001"</f>
        <v>00000001</v>
      </c>
      <c r="I780" t="s">
        <v>35</v>
      </c>
      <c r="J780"/>
      <c r="K780">
        <v>16.95</v>
      </c>
      <c r="L780">
        <v>0.0</v>
      </c>
      <c r="M780"/>
      <c r="N780"/>
      <c r="O780">
        <v>3.05</v>
      </c>
      <c r="P780">
        <v>0.0</v>
      </c>
      <c r="Q780">
        <v>20.0</v>
      </c>
      <c r="R780"/>
      <c r="S780"/>
      <c r="T780"/>
      <c r="U780"/>
      <c r="V780"/>
      <c r="W780">
        <v>18</v>
      </c>
    </row>
    <row r="781" spans="1:23">
      <c r="A781"/>
      <c r="B781" t="s">
        <v>101</v>
      </c>
      <c r="C781" t="s">
        <v>101</v>
      </c>
      <c r="D781" t="s">
        <v>33</v>
      </c>
      <c r="E781" t="s">
        <v>34</v>
      </c>
      <c r="F781" t="str">
        <f>"0014413"</f>
        <v>0014413</v>
      </c>
      <c r="G781">
        <v>1</v>
      </c>
      <c r="H781" t="str">
        <f>"00000001"</f>
        <v>00000001</v>
      </c>
      <c r="I781" t="s">
        <v>35</v>
      </c>
      <c r="J781"/>
      <c r="K781">
        <v>4.24</v>
      </c>
      <c r="L781">
        <v>0.0</v>
      </c>
      <c r="M781"/>
      <c r="N781"/>
      <c r="O781">
        <v>0.76</v>
      </c>
      <c r="P781">
        <v>0.0</v>
      </c>
      <c r="Q781">
        <v>5.0</v>
      </c>
      <c r="R781"/>
      <c r="S781"/>
      <c r="T781"/>
      <c r="U781"/>
      <c r="V781"/>
      <c r="W781">
        <v>18</v>
      </c>
    </row>
    <row r="782" spans="1:23">
      <c r="A782"/>
      <c r="B782" t="s">
        <v>101</v>
      </c>
      <c r="C782" t="s">
        <v>101</v>
      </c>
      <c r="D782" t="s">
        <v>33</v>
      </c>
      <c r="E782" t="s">
        <v>34</v>
      </c>
      <c r="F782" t="str">
        <f>"0014414"</f>
        <v>0014414</v>
      </c>
      <c r="G782">
        <v>1</v>
      </c>
      <c r="H782" t="str">
        <f>"00000001"</f>
        <v>00000001</v>
      </c>
      <c r="I782" t="s">
        <v>35</v>
      </c>
      <c r="J782"/>
      <c r="K782">
        <v>1.69</v>
      </c>
      <c r="L782">
        <v>0.0</v>
      </c>
      <c r="M782"/>
      <c r="N782"/>
      <c r="O782">
        <v>0.31</v>
      </c>
      <c r="P782">
        <v>0.0</v>
      </c>
      <c r="Q782">
        <v>2.0</v>
      </c>
      <c r="R782"/>
      <c r="S782"/>
      <c r="T782"/>
      <c r="U782"/>
      <c r="V782"/>
      <c r="W782">
        <v>18</v>
      </c>
    </row>
    <row r="783" spans="1:23">
      <c r="A783"/>
      <c r="B783" t="s">
        <v>101</v>
      </c>
      <c r="C783" t="s">
        <v>101</v>
      </c>
      <c r="D783" t="s">
        <v>33</v>
      </c>
      <c r="E783" t="s">
        <v>34</v>
      </c>
      <c r="F783" t="str">
        <f>"0014415"</f>
        <v>0014415</v>
      </c>
      <c r="G783">
        <v>1</v>
      </c>
      <c r="H783" t="str">
        <f>"00000001"</f>
        <v>00000001</v>
      </c>
      <c r="I783" t="s">
        <v>35</v>
      </c>
      <c r="J783"/>
      <c r="K783">
        <v>4.24</v>
      </c>
      <c r="L783">
        <v>0.0</v>
      </c>
      <c r="M783"/>
      <c r="N783"/>
      <c r="O783">
        <v>0.76</v>
      </c>
      <c r="P783">
        <v>0.0</v>
      </c>
      <c r="Q783">
        <v>5.0</v>
      </c>
      <c r="R783"/>
      <c r="S783"/>
      <c r="T783"/>
      <c r="U783"/>
      <c r="V783"/>
      <c r="W783">
        <v>18</v>
      </c>
    </row>
    <row r="784" spans="1:23">
      <c r="A784"/>
      <c r="B784" t="s">
        <v>101</v>
      </c>
      <c r="C784" t="s">
        <v>101</v>
      </c>
      <c r="D784" t="s">
        <v>33</v>
      </c>
      <c r="E784" t="s">
        <v>34</v>
      </c>
      <c r="F784" t="str">
        <f>"0014416"</f>
        <v>0014416</v>
      </c>
      <c r="G784">
        <v>1</v>
      </c>
      <c r="H784" t="str">
        <f>"00000001"</f>
        <v>00000001</v>
      </c>
      <c r="I784" t="s">
        <v>35</v>
      </c>
      <c r="J784"/>
      <c r="K784">
        <v>23.73</v>
      </c>
      <c r="L784">
        <v>0.0</v>
      </c>
      <c r="M784"/>
      <c r="N784"/>
      <c r="O784">
        <v>4.27</v>
      </c>
      <c r="P784">
        <v>0.0</v>
      </c>
      <c r="Q784">
        <v>28.0</v>
      </c>
      <c r="R784"/>
      <c r="S784"/>
      <c r="T784"/>
      <c r="U784"/>
      <c r="V784"/>
      <c r="W784">
        <v>18</v>
      </c>
    </row>
    <row r="785" spans="1:23">
      <c r="A785"/>
      <c r="B785" t="s">
        <v>101</v>
      </c>
      <c r="C785" t="s">
        <v>101</v>
      </c>
      <c r="D785" t="s">
        <v>33</v>
      </c>
      <c r="E785" t="s">
        <v>34</v>
      </c>
      <c r="F785" t="str">
        <f>"0014417"</f>
        <v>0014417</v>
      </c>
      <c r="G785">
        <v>1</v>
      </c>
      <c r="H785" t="str">
        <f>"00000001"</f>
        <v>00000001</v>
      </c>
      <c r="I785" t="s">
        <v>35</v>
      </c>
      <c r="J785"/>
      <c r="K785">
        <v>5.08</v>
      </c>
      <c r="L785">
        <v>0.0</v>
      </c>
      <c r="M785"/>
      <c r="N785"/>
      <c r="O785">
        <v>0.92</v>
      </c>
      <c r="P785">
        <v>0.0</v>
      </c>
      <c r="Q785">
        <v>6.0</v>
      </c>
      <c r="R785"/>
      <c r="S785"/>
      <c r="T785"/>
      <c r="U785"/>
      <c r="V785"/>
      <c r="W785">
        <v>18</v>
      </c>
    </row>
    <row r="786" spans="1:23">
      <c r="A786"/>
      <c r="B786" t="s">
        <v>101</v>
      </c>
      <c r="C786" t="s">
        <v>101</v>
      </c>
      <c r="D786" t="s">
        <v>33</v>
      </c>
      <c r="E786" t="s">
        <v>34</v>
      </c>
      <c r="F786" t="str">
        <f>"0014418"</f>
        <v>0014418</v>
      </c>
      <c r="G786">
        <v>1</v>
      </c>
      <c r="H786" t="str">
        <f>"00000001"</f>
        <v>00000001</v>
      </c>
      <c r="I786" t="s">
        <v>35</v>
      </c>
      <c r="J786"/>
      <c r="K786">
        <v>3.81</v>
      </c>
      <c r="L786">
        <v>0.0</v>
      </c>
      <c r="M786"/>
      <c r="N786"/>
      <c r="O786">
        <v>0.69</v>
      </c>
      <c r="P786">
        <v>0.0</v>
      </c>
      <c r="Q786">
        <v>4.5</v>
      </c>
      <c r="R786"/>
      <c r="S786"/>
      <c r="T786"/>
      <c r="U786"/>
      <c r="V786"/>
      <c r="W786">
        <v>18</v>
      </c>
    </row>
    <row r="787" spans="1:23">
      <c r="A787"/>
      <c r="B787" t="s">
        <v>101</v>
      </c>
      <c r="C787" t="s">
        <v>101</v>
      </c>
      <c r="D787" t="s">
        <v>33</v>
      </c>
      <c r="E787" t="s">
        <v>34</v>
      </c>
      <c r="F787" t="str">
        <f>"0014419"</f>
        <v>0014419</v>
      </c>
      <c r="G787">
        <v>1</v>
      </c>
      <c r="H787" t="str">
        <f>"00000001"</f>
        <v>00000001</v>
      </c>
      <c r="I787" t="s">
        <v>35</v>
      </c>
      <c r="J787"/>
      <c r="K787">
        <v>10.17</v>
      </c>
      <c r="L787">
        <v>0.0</v>
      </c>
      <c r="M787"/>
      <c r="N787"/>
      <c r="O787">
        <v>1.83</v>
      </c>
      <c r="P787">
        <v>0.0</v>
      </c>
      <c r="Q787">
        <v>12.0</v>
      </c>
      <c r="R787"/>
      <c r="S787"/>
      <c r="T787"/>
      <c r="U787"/>
      <c r="V787"/>
      <c r="W787">
        <v>18</v>
      </c>
    </row>
    <row r="788" spans="1:23">
      <c r="A788"/>
      <c r="B788" t="s">
        <v>101</v>
      </c>
      <c r="C788" t="s">
        <v>101</v>
      </c>
      <c r="D788" t="s">
        <v>33</v>
      </c>
      <c r="E788" t="s">
        <v>34</v>
      </c>
      <c r="F788" t="str">
        <f>"0014420"</f>
        <v>0014420</v>
      </c>
      <c r="G788">
        <v>1</v>
      </c>
      <c r="H788" t="str">
        <f>"00000001"</f>
        <v>00000001</v>
      </c>
      <c r="I788" t="s">
        <v>35</v>
      </c>
      <c r="J788"/>
      <c r="K788">
        <v>16.95</v>
      </c>
      <c r="L788">
        <v>0.0</v>
      </c>
      <c r="M788"/>
      <c r="N788"/>
      <c r="O788">
        <v>3.05</v>
      </c>
      <c r="P788">
        <v>0.0</v>
      </c>
      <c r="Q788">
        <v>20.0</v>
      </c>
      <c r="R788"/>
      <c r="S788"/>
      <c r="T788"/>
      <c r="U788"/>
      <c r="V788"/>
      <c r="W788">
        <v>18</v>
      </c>
    </row>
    <row r="789" spans="1:23">
      <c r="A789"/>
      <c r="B789" t="s">
        <v>101</v>
      </c>
      <c r="C789" t="s">
        <v>101</v>
      </c>
      <c r="D789" t="s">
        <v>33</v>
      </c>
      <c r="E789" t="s">
        <v>34</v>
      </c>
      <c r="F789" t="str">
        <f>"0014421"</f>
        <v>0014421</v>
      </c>
      <c r="G789">
        <v>1</v>
      </c>
      <c r="H789" t="str">
        <f>"00000001"</f>
        <v>00000001</v>
      </c>
      <c r="I789" t="s">
        <v>35</v>
      </c>
      <c r="J789"/>
      <c r="K789">
        <v>52.12</v>
      </c>
      <c r="L789">
        <v>0.0</v>
      </c>
      <c r="M789"/>
      <c r="N789"/>
      <c r="O789">
        <v>9.38</v>
      </c>
      <c r="P789">
        <v>0.0</v>
      </c>
      <c r="Q789">
        <v>61.5</v>
      </c>
      <c r="R789"/>
      <c r="S789"/>
      <c r="T789"/>
      <c r="U789"/>
      <c r="V789"/>
      <c r="W789">
        <v>18</v>
      </c>
    </row>
    <row r="790" spans="1:23">
      <c r="A790"/>
      <c r="B790" t="s">
        <v>102</v>
      </c>
      <c r="C790" t="s">
        <v>102</v>
      </c>
      <c r="D790" t="s">
        <v>33</v>
      </c>
      <c r="E790" t="s">
        <v>34</v>
      </c>
      <c r="F790" t="str">
        <f>"0014422"</f>
        <v>0014422</v>
      </c>
      <c r="G790">
        <v>1</v>
      </c>
      <c r="H790" t="str">
        <f>"00000001"</f>
        <v>00000001</v>
      </c>
      <c r="I790" t="s">
        <v>35</v>
      </c>
      <c r="J790"/>
      <c r="K790">
        <v>21.19</v>
      </c>
      <c r="L790">
        <v>0.0</v>
      </c>
      <c r="M790"/>
      <c r="N790"/>
      <c r="O790">
        <v>3.81</v>
      </c>
      <c r="P790">
        <v>0.0</v>
      </c>
      <c r="Q790">
        <v>25.0</v>
      </c>
      <c r="R790"/>
      <c r="S790"/>
      <c r="T790"/>
      <c r="U790"/>
      <c r="V790"/>
      <c r="W790">
        <v>18</v>
      </c>
    </row>
    <row r="791" spans="1:23">
      <c r="A791"/>
      <c r="B791" t="s">
        <v>102</v>
      </c>
      <c r="C791" t="s">
        <v>102</v>
      </c>
      <c r="D791" t="s">
        <v>33</v>
      </c>
      <c r="E791" t="s">
        <v>34</v>
      </c>
      <c r="F791" t="str">
        <f>"0014423"</f>
        <v>0014423</v>
      </c>
      <c r="G791">
        <v>1</v>
      </c>
      <c r="H791" t="str">
        <f>"00000001"</f>
        <v>00000001</v>
      </c>
      <c r="I791" t="s">
        <v>35</v>
      </c>
      <c r="J791"/>
      <c r="K791">
        <v>17.37</v>
      </c>
      <c r="L791">
        <v>0.0</v>
      </c>
      <c r="M791"/>
      <c r="N791"/>
      <c r="O791">
        <v>3.13</v>
      </c>
      <c r="P791">
        <v>0.0</v>
      </c>
      <c r="Q791">
        <v>20.5</v>
      </c>
      <c r="R791"/>
      <c r="S791"/>
      <c r="T791"/>
      <c r="U791"/>
      <c r="V791"/>
      <c r="W791">
        <v>18</v>
      </c>
    </row>
    <row r="792" spans="1:23">
      <c r="A792"/>
      <c r="B792" t="s">
        <v>102</v>
      </c>
      <c r="C792" t="s">
        <v>102</v>
      </c>
      <c r="D792" t="s">
        <v>33</v>
      </c>
      <c r="E792" t="s">
        <v>34</v>
      </c>
      <c r="F792" t="str">
        <f>"0014424"</f>
        <v>0014424</v>
      </c>
      <c r="G792">
        <v>1</v>
      </c>
      <c r="H792" t="str">
        <f>"00000001"</f>
        <v>00000001</v>
      </c>
      <c r="I792" t="s">
        <v>35</v>
      </c>
      <c r="J792"/>
      <c r="K792">
        <v>7.63</v>
      </c>
      <c r="L792">
        <v>0.0</v>
      </c>
      <c r="M792"/>
      <c r="N792"/>
      <c r="O792">
        <v>1.37</v>
      </c>
      <c r="P792">
        <v>0.0</v>
      </c>
      <c r="Q792">
        <v>9.0</v>
      </c>
      <c r="R792"/>
      <c r="S792"/>
      <c r="T792"/>
      <c r="U792"/>
      <c r="V792"/>
      <c r="W792">
        <v>18</v>
      </c>
    </row>
    <row r="793" spans="1:23">
      <c r="A793"/>
      <c r="B793" t="s">
        <v>102</v>
      </c>
      <c r="C793" t="s">
        <v>102</v>
      </c>
      <c r="D793" t="s">
        <v>33</v>
      </c>
      <c r="E793" t="s">
        <v>34</v>
      </c>
      <c r="F793" t="str">
        <f>"0014425"</f>
        <v>0014425</v>
      </c>
      <c r="G793">
        <v>1</v>
      </c>
      <c r="H793" t="str">
        <f>"00000001"</f>
        <v>00000001</v>
      </c>
      <c r="I793" t="s">
        <v>35</v>
      </c>
      <c r="J793"/>
      <c r="K793">
        <v>6.78</v>
      </c>
      <c r="L793">
        <v>0.0</v>
      </c>
      <c r="M793"/>
      <c r="N793"/>
      <c r="O793">
        <v>1.22</v>
      </c>
      <c r="P793">
        <v>0.0</v>
      </c>
      <c r="Q793">
        <v>8.0</v>
      </c>
      <c r="R793"/>
      <c r="S793"/>
      <c r="T793"/>
      <c r="U793"/>
      <c r="V793"/>
      <c r="W793">
        <v>18</v>
      </c>
    </row>
    <row r="794" spans="1:23">
      <c r="A794"/>
      <c r="B794" t="s">
        <v>102</v>
      </c>
      <c r="C794" t="s">
        <v>102</v>
      </c>
      <c r="D794" t="s">
        <v>33</v>
      </c>
      <c r="E794" t="s">
        <v>34</v>
      </c>
      <c r="F794" t="str">
        <f>"0014426"</f>
        <v>0014426</v>
      </c>
      <c r="G794">
        <v>1</v>
      </c>
      <c r="H794" t="str">
        <f>"00000001"</f>
        <v>00000001</v>
      </c>
      <c r="I794" t="s">
        <v>35</v>
      </c>
      <c r="J794"/>
      <c r="K794">
        <v>16.95</v>
      </c>
      <c r="L794">
        <v>0.0</v>
      </c>
      <c r="M794"/>
      <c r="N794"/>
      <c r="O794">
        <v>3.05</v>
      </c>
      <c r="P794">
        <v>0.0</v>
      </c>
      <c r="Q794">
        <v>20.0</v>
      </c>
      <c r="R794"/>
      <c r="S794"/>
      <c r="T794"/>
      <c r="U794"/>
      <c r="V794"/>
      <c r="W794">
        <v>18</v>
      </c>
    </row>
    <row r="795" spans="1:23">
      <c r="A795"/>
      <c r="B795" t="s">
        <v>102</v>
      </c>
      <c r="C795" t="s">
        <v>102</v>
      </c>
      <c r="D795" t="s">
        <v>33</v>
      </c>
      <c r="E795" t="s">
        <v>34</v>
      </c>
      <c r="F795" t="str">
        <f>"0014427"</f>
        <v>0014427</v>
      </c>
      <c r="G795">
        <v>1</v>
      </c>
      <c r="H795" t="str">
        <f>"00000001"</f>
        <v>00000001</v>
      </c>
      <c r="I795" t="s">
        <v>35</v>
      </c>
      <c r="J795"/>
      <c r="K795">
        <v>1.69</v>
      </c>
      <c r="L795">
        <v>0.0</v>
      </c>
      <c r="M795"/>
      <c r="N795"/>
      <c r="O795">
        <v>0.31</v>
      </c>
      <c r="P795">
        <v>0.0</v>
      </c>
      <c r="Q795">
        <v>2.0</v>
      </c>
      <c r="R795"/>
      <c r="S795"/>
      <c r="T795"/>
      <c r="U795"/>
      <c r="V795"/>
      <c r="W795">
        <v>18</v>
      </c>
    </row>
    <row r="796" spans="1:23">
      <c r="A796"/>
      <c r="B796" t="s">
        <v>102</v>
      </c>
      <c r="C796" t="s">
        <v>102</v>
      </c>
      <c r="D796" t="s">
        <v>33</v>
      </c>
      <c r="E796" t="s">
        <v>34</v>
      </c>
      <c r="F796" t="str">
        <f>"0014428"</f>
        <v>0014428</v>
      </c>
      <c r="G796">
        <v>1</v>
      </c>
      <c r="H796" t="str">
        <f>"00000001"</f>
        <v>00000001</v>
      </c>
      <c r="I796" t="s">
        <v>35</v>
      </c>
      <c r="J796"/>
      <c r="K796">
        <v>17.37</v>
      </c>
      <c r="L796">
        <v>0.0</v>
      </c>
      <c r="M796"/>
      <c r="N796"/>
      <c r="O796">
        <v>3.13</v>
      </c>
      <c r="P796">
        <v>0.0</v>
      </c>
      <c r="Q796">
        <v>20.5</v>
      </c>
      <c r="R796"/>
      <c r="S796"/>
      <c r="T796"/>
      <c r="U796"/>
      <c r="V796"/>
      <c r="W796">
        <v>18</v>
      </c>
    </row>
    <row r="797" spans="1:23">
      <c r="A797"/>
      <c r="B797" t="s">
        <v>102</v>
      </c>
      <c r="C797" t="s">
        <v>102</v>
      </c>
      <c r="D797" t="s">
        <v>33</v>
      </c>
      <c r="E797" t="s">
        <v>34</v>
      </c>
      <c r="F797" t="str">
        <f>"0014429"</f>
        <v>0014429</v>
      </c>
      <c r="G797">
        <v>1</v>
      </c>
      <c r="H797" t="str">
        <f>"00000001"</f>
        <v>00000001</v>
      </c>
      <c r="I797" t="s">
        <v>35</v>
      </c>
      <c r="J797"/>
      <c r="K797">
        <v>2.97</v>
      </c>
      <c r="L797">
        <v>0.0</v>
      </c>
      <c r="M797"/>
      <c r="N797"/>
      <c r="O797">
        <v>0.53</v>
      </c>
      <c r="P797">
        <v>0.0</v>
      </c>
      <c r="Q797">
        <v>3.5</v>
      </c>
      <c r="R797"/>
      <c r="S797"/>
      <c r="T797"/>
      <c r="U797"/>
      <c r="V797"/>
      <c r="W797">
        <v>18</v>
      </c>
    </row>
    <row r="798" spans="1:23">
      <c r="A798"/>
      <c r="B798" t="s">
        <v>102</v>
      </c>
      <c r="C798" t="s">
        <v>102</v>
      </c>
      <c r="D798" t="s">
        <v>33</v>
      </c>
      <c r="E798" t="s">
        <v>34</v>
      </c>
      <c r="F798" t="str">
        <f>"0014430"</f>
        <v>0014430</v>
      </c>
      <c r="G798">
        <v>1</v>
      </c>
      <c r="H798" t="str">
        <f>"00000001"</f>
        <v>00000001</v>
      </c>
      <c r="I798" t="s">
        <v>35</v>
      </c>
      <c r="J798"/>
      <c r="K798">
        <v>10.17</v>
      </c>
      <c r="L798">
        <v>0.0</v>
      </c>
      <c r="M798"/>
      <c r="N798"/>
      <c r="O798">
        <v>1.83</v>
      </c>
      <c r="P798">
        <v>0.0</v>
      </c>
      <c r="Q798">
        <v>12.0</v>
      </c>
      <c r="R798"/>
      <c r="S798"/>
      <c r="T798"/>
      <c r="U798"/>
      <c r="V798"/>
      <c r="W798">
        <v>18</v>
      </c>
    </row>
    <row r="799" spans="1:23">
      <c r="A799"/>
      <c r="B799" t="s">
        <v>102</v>
      </c>
      <c r="C799" t="s">
        <v>102</v>
      </c>
      <c r="D799" t="s">
        <v>33</v>
      </c>
      <c r="E799" t="s">
        <v>34</v>
      </c>
      <c r="F799" t="str">
        <f>"0014431"</f>
        <v>0014431</v>
      </c>
      <c r="G799">
        <v>1</v>
      </c>
      <c r="H799" t="str">
        <f>"00000001"</f>
        <v>00000001</v>
      </c>
      <c r="I799" t="s">
        <v>35</v>
      </c>
      <c r="J799"/>
      <c r="K799">
        <v>5.08</v>
      </c>
      <c r="L799">
        <v>0.0</v>
      </c>
      <c r="M799"/>
      <c r="N799"/>
      <c r="O799">
        <v>0.92</v>
      </c>
      <c r="P799">
        <v>0.0</v>
      </c>
      <c r="Q799">
        <v>6.0</v>
      </c>
      <c r="R799"/>
      <c r="S799"/>
      <c r="T799"/>
      <c r="U799"/>
      <c r="V799"/>
      <c r="W799">
        <v>18</v>
      </c>
    </row>
    <row r="800" spans="1:23">
      <c r="A800"/>
      <c r="B800" t="s">
        <v>102</v>
      </c>
      <c r="C800" t="s">
        <v>102</v>
      </c>
      <c r="D800" t="s">
        <v>33</v>
      </c>
      <c r="E800" t="s">
        <v>34</v>
      </c>
      <c r="F800" t="str">
        <f>"0014432"</f>
        <v>0014432</v>
      </c>
      <c r="G800">
        <v>1</v>
      </c>
      <c r="H800" t="str">
        <f>"00000044"</f>
        <v>00000044</v>
      </c>
      <c r="I800" t="s">
        <v>103</v>
      </c>
      <c r="J800"/>
      <c r="K800">
        <v>16.95</v>
      </c>
      <c r="L800">
        <v>0.0</v>
      </c>
      <c r="M800"/>
      <c r="N800"/>
      <c r="O800">
        <v>3.05</v>
      </c>
      <c r="P800">
        <v>0.0</v>
      </c>
      <c r="Q800">
        <v>20.0</v>
      </c>
      <c r="R800"/>
      <c r="S800"/>
      <c r="T800"/>
      <c r="U800"/>
      <c r="V800"/>
      <c r="W800">
        <v>18</v>
      </c>
    </row>
    <row r="801" spans="1:23">
      <c r="A801"/>
      <c r="B801" t="s">
        <v>102</v>
      </c>
      <c r="C801" t="s">
        <v>102</v>
      </c>
      <c r="D801" t="s">
        <v>33</v>
      </c>
      <c r="E801" t="s">
        <v>34</v>
      </c>
      <c r="F801" t="str">
        <f>"0014433"</f>
        <v>0014433</v>
      </c>
      <c r="G801">
        <v>1</v>
      </c>
      <c r="H801" t="str">
        <f>"00000044"</f>
        <v>00000044</v>
      </c>
      <c r="I801" t="s">
        <v>103</v>
      </c>
      <c r="J801"/>
      <c r="K801">
        <v>23.73</v>
      </c>
      <c r="L801">
        <v>0.0</v>
      </c>
      <c r="M801"/>
      <c r="N801"/>
      <c r="O801">
        <v>4.27</v>
      </c>
      <c r="P801">
        <v>0.0</v>
      </c>
      <c r="Q801">
        <v>28.0</v>
      </c>
      <c r="R801"/>
      <c r="S801"/>
      <c r="T801"/>
      <c r="U801"/>
      <c r="V801"/>
      <c r="W801">
        <v>18</v>
      </c>
    </row>
    <row r="802" spans="1:23">
      <c r="A802"/>
      <c r="B802" t="s">
        <v>102</v>
      </c>
      <c r="C802" t="s">
        <v>102</v>
      </c>
      <c r="D802" t="s">
        <v>33</v>
      </c>
      <c r="E802" t="s">
        <v>34</v>
      </c>
      <c r="F802" t="str">
        <f>"0014434"</f>
        <v>0014434</v>
      </c>
      <c r="G802">
        <v>1</v>
      </c>
      <c r="H802" t="str">
        <f>"00000001"</f>
        <v>00000001</v>
      </c>
      <c r="I802" t="s">
        <v>35</v>
      </c>
      <c r="J802"/>
      <c r="K802">
        <v>5.93</v>
      </c>
      <c r="L802">
        <v>0.0</v>
      </c>
      <c r="M802"/>
      <c r="N802"/>
      <c r="O802">
        <v>1.07</v>
      </c>
      <c r="P802">
        <v>0.0</v>
      </c>
      <c r="Q802">
        <v>7.0</v>
      </c>
      <c r="R802"/>
      <c r="S802"/>
      <c r="T802"/>
      <c r="U802"/>
      <c r="V802"/>
      <c r="W802">
        <v>18</v>
      </c>
    </row>
    <row r="803" spans="1:23">
      <c r="A803"/>
      <c r="B803" t="s">
        <v>102</v>
      </c>
      <c r="C803" t="s">
        <v>102</v>
      </c>
      <c r="D803" t="s">
        <v>33</v>
      </c>
      <c r="E803" t="s">
        <v>34</v>
      </c>
      <c r="F803" t="str">
        <f>"0014435"</f>
        <v>0014435</v>
      </c>
      <c r="G803">
        <v>1</v>
      </c>
      <c r="H803" t="str">
        <f>"00000001"</f>
        <v>00000001</v>
      </c>
      <c r="I803" t="s">
        <v>35</v>
      </c>
      <c r="J803"/>
      <c r="K803">
        <v>6.78</v>
      </c>
      <c r="L803">
        <v>0.0</v>
      </c>
      <c r="M803"/>
      <c r="N803"/>
      <c r="O803">
        <v>1.22</v>
      </c>
      <c r="P803">
        <v>0.0</v>
      </c>
      <c r="Q803">
        <v>8.0</v>
      </c>
      <c r="R803"/>
      <c r="S803"/>
      <c r="T803"/>
      <c r="U803"/>
      <c r="V803"/>
      <c r="W803">
        <v>18</v>
      </c>
    </row>
    <row r="804" spans="1:23">
      <c r="A804"/>
      <c r="B804" t="s">
        <v>102</v>
      </c>
      <c r="C804" t="s">
        <v>102</v>
      </c>
      <c r="D804" t="s">
        <v>33</v>
      </c>
      <c r="E804" t="s">
        <v>34</v>
      </c>
      <c r="F804" t="str">
        <f>"0014436"</f>
        <v>0014436</v>
      </c>
      <c r="G804">
        <v>1</v>
      </c>
      <c r="H804" t="str">
        <f>"00000001"</f>
        <v>00000001</v>
      </c>
      <c r="I804" t="s">
        <v>35</v>
      </c>
      <c r="J804"/>
      <c r="K804">
        <v>14.41</v>
      </c>
      <c r="L804">
        <v>0.0</v>
      </c>
      <c r="M804"/>
      <c r="N804"/>
      <c r="O804">
        <v>2.59</v>
      </c>
      <c r="P804">
        <v>0.0</v>
      </c>
      <c r="Q804">
        <v>17.0</v>
      </c>
      <c r="R804"/>
      <c r="S804"/>
      <c r="T804"/>
      <c r="U804"/>
      <c r="V804"/>
      <c r="W804">
        <v>18</v>
      </c>
    </row>
    <row r="805" spans="1:23">
      <c r="A805"/>
      <c r="B805" t="s">
        <v>102</v>
      </c>
      <c r="C805" t="s">
        <v>102</v>
      </c>
      <c r="D805" t="s">
        <v>33</v>
      </c>
      <c r="E805" t="s">
        <v>34</v>
      </c>
      <c r="F805" t="str">
        <f>"0014437"</f>
        <v>0014437</v>
      </c>
      <c r="G805">
        <v>1</v>
      </c>
      <c r="H805" t="str">
        <f>"00000001"</f>
        <v>00000001</v>
      </c>
      <c r="I805" t="s">
        <v>35</v>
      </c>
      <c r="J805"/>
      <c r="K805">
        <v>16.1</v>
      </c>
      <c r="L805">
        <v>0.0</v>
      </c>
      <c r="M805"/>
      <c r="N805"/>
      <c r="O805">
        <v>2.9</v>
      </c>
      <c r="P805">
        <v>0.0</v>
      </c>
      <c r="Q805">
        <v>19.0</v>
      </c>
      <c r="R805"/>
      <c r="S805"/>
      <c r="T805"/>
      <c r="U805"/>
      <c r="V805"/>
      <c r="W805">
        <v>18</v>
      </c>
    </row>
    <row r="806" spans="1:23">
      <c r="A806"/>
      <c r="B806" t="s">
        <v>102</v>
      </c>
      <c r="C806" t="s">
        <v>102</v>
      </c>
      <c r="D806" t="s">
        <v>33</v>
      </c>
      <c r="E806" t="s">
        <v>34</v>
      </c>
      <c r="F806" t="str">
        <f>"0014438"</f>
        <v>0014438</v>
      </c>
      <c r="G806">
        <v>1</v>
      </c>
      <c r="H806" t="str">
        <f>"00000001"</f>
        <v>00000001</v>
      </c>
      <c r="I806" t="s">
        <v>35</v>
      </c>
      <c r="J806"/>
      <c r="K806">
        <v>10.17</v>
      </c>
      <c r="L806">
        <v>0.0</v>
      </c>
      <c r="M806"/>
      <c r="N806"/>
      <c r="O806">
        <v>1.83</v>
      </c>
      <c r="P806">
        <v>0.0</v>
      </c>
      <c r="Q806">
        <v>12.0</v>
      </c>
      <c r="R806"/>
      <c r="S806"/>
      <c r="T806"/>
      <c r="U806"/>
      <c r="V806"/>
      <c r="W806">
        <v>18</v>
      </c>
    </row>
    <row r="807" spans="1:23">
      <c r="A807"/>
      <c r="B807" t="s">
        <v>102</v>
      </c>
      <c r="C807" t="s">
        <v>102</v>
      </c>
      <c r="D807" t="s">
        <v>33</v>
      </c>
      <c r="E807" t="s">
        <v>34</v>
      </c>
      <c r="F807" t="str">
        <f>"0014439"</f>
        <v>0014439</v>
      </c>
      <c r="G807">
        <v>6</v>
      </c>
      <c r="H807" t="str">
        <f>"20608580833"</f>
        <v>20608580833</v>
      </c>
      <c r="I807" t="s">
        <v>78</v>
      </c>
      <c r="J807"/>
      <c r="K807">
        <v>28.81</v>
      </c>
      <c r="L807">
        <v>0.0</v>
      </c>
      <c r="M807"/>
      <c r="N807"/>
      <c r="O807">
        <v>5.19</v>
      </c>
      <c r="P807">
        <v>0.0</v>
      </c>
      <c r="Q807">
        <v>34.0</v>
      </c>
      <c r="R807"/>
      <c r="S807"/>
      <c r="T807"/>
      <c r="U807"/>
      <c r="V807"/>
      <c r="W807">
        <v>18</v>
      </c>
    </row>
    <row r="808" spans="1:23">
      <c r="A808"/>
      <c r="B808" t="s">
        <v>102</v>
      </c>
      <c r="C808" t="s">
        <v>102</v>
      </c>
      <c r="D808" t="s">
        <v>33</v>
      </c>
      <c r="E808" t="s">
        <v>34</v>
      </c>
      <c r="F808" t="str">
        <f>"0014440"</f>
        <v>0014440</v>
      </c>
      <c r="G808">
        <v>6</v>
      </c>
      <c r="H808" t="str">
        <f>"20608580833"</f>
        <v>20608580833</v>
      </c>
      <c r="I808" t="s">
        <v>78</v>
      </c>
      <c r="J808"/>
      <c r="K808">
        <v>2.12</v>
      </c>
      <c r="L808">
        <v>0.0</v>
      </c>
      <c r="M808"/>
      <c r="N808"/>
      <c r="O808">
        <v>0.38</v>
      </c>
      <c r="P808">
        <v>0.0</v>
      </c>
      <c r="Q808">
        <v>2.5</v>
      </c>
      <c r="R808"/>
      <c r="S808"/>
      <c r="T808"/>
      <c r="U808"/>
      <c r="V808"/>
      <c r="W808">
        <v>18</v>
      </c>
    </row>
    <row r="809" spans="1:23">
      <c r="A809"/>
      <c r="B809" t="s">
        <v>102</v>
      </c>
      <c r="C809" t="s">
        <v>102</v>
      </c>
      <c r="D809" t="s">
        <v>33</v>
      </c>
      <c r="E809" t="s">
        <v>34</v>
      </c>
      <c r="F809" t="str">
        <f>"0014441"</f>
        <v>0014441</v>
      </c>
      <c r="G809">
        <v>6</v>
      </c>
      <c r="H809" t="str">
        <f>"20608580833"</f>
        <v>20608580833</v>
      </c>
      <c r="I809" t="s">
        <v>78</v>
      </c>
      <c r="J809"/>
      <c r="K809">
        <v>30.93</v>
      </c>
      <c r="L809">
        <v>0.0</v>
      </c>
      <c r="M809"/>
      <c r="N809"/>
      <c r="O809">
        <v>5.57</v>
      </c>
      <c r="P809">
        <v>0.0</v>
      </c>
      <c r="Q809">
        <v>36.5</v>
      </c>
      <c r="R809"/>
      <c r="S809"/>
      <c r="T809"/>
      <c r="U809"/>
      <c r="V809"/>
      <c r="W809">
        <v>18</v>
      </c>
    </row>
    <row r="810" spans="1:23">
      <c r="A810"/>
      <c r="B810" t="s">
        <v>102</v>
      </c>
      <c r="C810" t="s">
        <v>102</v>
      </c>
      <c r="D810" t="s">
        <v>33</v>
      </c>
      <c r="E810" t="s">
        <v>34</v>
      </c>
      <c r="F810" t="str">
        <f>"0014442"</f>
        <v>0014442</v>
      </c>
      <c r="G810">
        <v>1</v>
      </c>
      <c r="H810" t="str">
        <f>"00000001"</f>
        <v>00000001</v>
      </c>
      <c r="I810" t="s">
        <v>35</v>
      </c>
      <c r="J810"/>
      <c r="K810">
        <v>16.95</v>
      </c>
      <c r="L810">
        <v>0.0</v>
      </c>
      <c r="M810"/>
      <c r="N810"/>
      <c r="O810">
        <v>3.05</v>
      </c>
      <c r="P810">
        <v>0.0</v>
      </c>
      <c r="Q810">
        <v>20.0</v>
      </c>
      <c r="R810"/>
      <c r="S810"/>
      <c r="T810"/>
      <c r="U810"/>
      <c r="V810"/>
      <c r="W810">
        <v>18</v>
      </c>
    </row>
    <row r="811" spans="1:23">
      <c r="A811"/>
      <c r="B811" t="s">
        <v>102</v>
      </c>
      <c r="C811" t="s">
        <v>102</v>
      </c>
      <c r="D811" t="s">
        <v>33</v>
      </c>
      <c r="E811" t="s">
        <v>34</v>
      </c>
      <c r="F811" t="str">
        <f>"0014443"</f>
        <v>0014443</v>
      </c>
      <c r="G811">
        <v>1</v>
      </c>
      <c r="H811" t="str">
        <f>"00000001"</f>
        <v>00000001</v>
      </c>
      <c r="I811" t="s">
        <v>35</v>
      </c>
      <c r="J811"/>
      <c r="K811">
        <v>4.07</v>
      </c>
      <c r="L811">
        <v>0.0</v>
      </c>
      <c r="M811"/>
      <c r="N811"/>
      <c r="O811">
        <v>0.73</v>
      </c>
      <c r="P811">
        <v>0.0</v>
      </c>
      <c r="Q811">
        <v>4.8</v>
      </c>
      <c r="R811"/>
      <c r="S811"/>
      <c r="T811"/>
      <c r="U811"/>
      <c r="V811"/>
      <c r="W811">
        <v>18</v>
      </c>
    </row>
    <row r="812" spans="1:23">
      <c r="A812"/>
      <c r="B812" t="s">
        <v>102</v>
      </c>
      <c r="C812" t="s">
        <v>102</v>
      </c>
      <c r="D812" t="s">
        <v>33</v>
      </c>
      <c r="E812" t="s">
        <v>34</v>
      </c>
      <c r="F812" t="str">
        <f>"0014444"</f>
        <v>0014444</v>
      </c>
      <c r="G812">
        <v>1</v>
      </c>
      <c r="H812" t="str">
        <f>"00000001"</f>
        <v>00000001</v>
      </c>
      <c r="I812" t="s">
        <v>35</v>
      </c>
      <c r="J812"/>
      <c r="K812">
        <v>5.08</v>
      </c>
      <c r="L812">
        <v>0.0</v>
      </c>
      <c r="M812"/>
      <c r="N812"/>
      <c r="O812">
        <v>0.92</v>
      </c>
      <c r="P812">
        <v>0.0</v>
      </c>
      <c r="Q812">
        <v>6.0</v>
      </c>
      <c r="R812"/>
      <c r="S812"/>
      <c r="T812"/>
      <c r="U812"/>
      <c r="V812"/>
      <c r="W812">
        <v>18</v>
      </c>
    </row>
    <row r="813" spans="1:23">
      <c r="A813"/>
      <c r="B813" t="s">
        <v>102</v>
      </c>
      <c r="C813" t="s">
        <v>102</v>
      </c>
      <c r="D813" t="s">
        <v>33</v>
      </c>
      <c r="E813" t="s">
        <v>34</v>
      </c>
      <c r="F813" t="str">
        <f>"0014445"</f>
        <v>0014445</v>
      </c>
      <c r="G813">
        <v>1</v>
      </c>
      <c r="H813" t="str">
        <f>"00000001"</f>
        <v>00000001</v>
      </c>
      <c r="I813" t="s">
        <v>35</v>
      </c>
      <c r="J813"/>
      <c r="K813">
        <v>9.32</v>
      </c>
      <c r="L813">
        <v>0.0</v>
      </c>
      <c r="M813"/>
      <c r="N813"/>
      <c r="O813">
        <v>1.68</v>
      </c>
      <c r="P813">
        <v>0.0</v>
      </c>
      <c r="Q813">
        <v>11.0</v>
      </c>
      <c r="R813"/>
      <c r="S813"/>
      <c r="T813"/>
      <c r="U813"/>
      <c r="V813"/>
      <c r="W813">
        <v>18</v>
      </c>
    </row>
    <row r="814" spans="1:23">
      <c r="A814"/>
      <c r="B814" t="s">
        <v>102</v>
      </c>
      <c r="C814" t="s">
        <v>102</v>
      </c>
      <c r="D814" t="s">
        <v>33</v>
      </c>
      <c r="E814" t="s">
        <v>34</v>
      </c>
      <c r="F814" t="str">
        <f>"0014446"</f>
        <v>0014446</v>
      </c>
      <c r="G814">
        <v>1</v>
      </c>
      <c r="H814" t="str">
        <f>"00000001"</f>
        <v>00000001</v>
      </c>
      <c r="I814" t="s">
        <v>35</v>
      </c>
      <c r="J814"/>
      <c r="K814">
        <v>9.75</v>
      </c>
      <c r="L814">
        <v>0.0</v>
      </c>
      <c r="M814"/>
      <c r="N814"/>
      <c r="O814">
        <v>1.75</v>
      </c>
      <c r="P814">
        <v>0.0</v>
      </c>
      <c r="Q814">
        <v>11.5</v>
      </c>
      <c r="R814"/>
      <c r="S814"/>
      <c r="T814"/>
      <c r="U814"/>
      <c r="V814"/>
      <c r="W814">
        <v>18</v>
      </c>
    </row>
    <row r="815" spans="1:23">
      <c r="A815"/>
      <c r="B815" t="s">
        <v>102</v>
      </c>
      <c r="C815" t="s">
        <v>102</v>
      </c>
      <c r="D815" t="s">
        <v>33</v>
      </c>
      <c r="E815" t="s">
        <v>34</v>
      </c>
      <c r="F815" t="str">
        <f>"0014447"</f>
        <v>0014447</v>
      </c>
      <c r="G815">
        <v>1</v>
      </c>
      <c r="H815" t="str">
        <f>"00000001"</f>
        <v>00000001</v>
      </c>
      <c r="I815" t="s">
        <v>35</v>
      </c>
      <c r="J815"/>
      <c r="K815">
        <v>11.02</v>
      </c>
      <c r="L815">
        <v>0.0</v>
      </c>
      <c r="M815"/>
      <c r="N815"/>
      <c r="O815">
        <v>1.98</v>
      </c>
      <c r="P815">
        <v>0.0</v>
      </c>
      <c r="Q815">
        <v>13.0</v>
      </c>
      <c r="R815"/>
      <c r="S815"/>
      <c r="T815"/>
      <c r="U815"/>
      <c r="V815"/>
      <c r="W815">
        <v>18</v>
      </c>
    </row>
    <row r="816" spans="1:23">
      <c r="A816"/>
      <c r="B816" t="s">
        <v>102</v>
      </c>
      <c r="C816" t="s">
        <v>102</v>
      </c>
      <c r="D816" t="s">
        <v>33</v>
      </c>
      <c r="E816" t="s">
        <v>34</v>
      </c>
      <c r="F816" t="str">
        <f>"0014448"</f>
        <v>0014448</v>
      </c>
      <c r="G816">
        <v>1</v>
      </c>
      <c r="H816" t="str">
        <f>"00000001"</f>
        <v>00000001</v>
      </c>
      <c r="I816" t="s">
        <v>35</v>
      </c>
      <c r="J816"/>
      <c r="K816">
        <v>16.95</v>
      </c>
      <c r="L816">
        <v>0.0</v>
      </c>
      <c r="M816"/>
      <c r="N816"/>
      <c r="O816">
        <v>3.05</v>
      </c>
      <c r="P816">
        <v>0.0</v>
      </c>
      <c r="Q816">
        <v>20.0</v>
      </c>
      <c r="R816"/>
      <c r="S816"/>
      <c r="T816"/>
      <c r="U816"/>
      <c r="V816"/>
      <c r="W816">
        <v>18</v>
      </c>
    </row>
    <row r="817" spans="1:23">
      <c r="A817"/>
      <c r="B817" t="s">
        <v>102</v>
      </c>
      <c r="C817" t="s">
        <v>102</v>
      </c>
      <c r="D817" t="s">
        <v>33</v>
      </c>
      <c r="E817" t="s">
        <v>34</v>
      </c>
      <c r="F817" t="str">
        <f>"0014449"</f>
        <v>0014449</v>
      </c>
      <c r="G817">
        <v>1</v>
      </c>
      <c r="H817" t="str">
        <f>"00000001"</f>
        <v>00000001</v>
      </c>
      <c r="I817" t="s">
        <v>35</v>
      </c>
      <c r="J817"/>
      <c r="K817">
        <v>3.39</v>
      </c>
      <c r="L817">
        <v>0.0</v>
      </c>
      <c r="M817"/>
      <c r="N817"/>
      <c r="O817">
        <v>0.61</v>
      </c>
      <c r="P817">
        <v>0.0</v>
      </c>
      <c r="Q817">
        <v>4.0</v>
      </c>
      <c r="R817"/>
      <c r="S817"/>
      <c r="T817"/>
      <c r="U817"/>
      <c r="V817"/>
      <c r="W817">
        <v>18</v>
      </c>
    </row>
    <row r="818" spans="1:23">
      <c r="A818"/>
      <c r="B818" t="s">
        <v>102</v>
      </c>
      <c r="C818" t="s">
        <v>102</v>
      </c>
      <c r="D818" t="s">
        <v>33</v>
      </c>
      <c r="E818" t="s">
        <v>34</v>
      </c>
      <c r="F818" t="str">
        <f>"0014450"</f>
        <v>0014450</v>
      </c>
      <c r="G818">
        <v>1</v>
      </c>
      <c r="H818" t="str">
        <f>"00000001"</f>
        <v>00000001</v>
      </c>
      <c r="I818" t="s">
        <v>35</v>
      </c>
      <c r="J818"/>
      <c r="K818">
        <v>8.47</v>
      </c>
      <c r="L818">
        <v>0.0</v>
      </c>
      <c r="M818"/>
      <c r="N818"/>
      <c r="O818">
        <v>1.53</v>
      </c>
      <c r="P818">
        <v>0.0</v>
      </c>
      <c r="Q818">
        <v>10.0</v>
      </c>
      <c r="R818"/>
      <c r="S818"/>
      <c r="T818"/>
      <c r="U818"/>
      <c r="V818"/>
      <c r="W818">
        <v>18</v>
      </c>
    </row>
    <row r="819" spans="1:23">
      <c r="A819"/>
      <c r="B819" t="s">
        <v>102</v>
      </c>
      <c r="C819" t="s">
        <v>102</v>
      </c>
      <c r="D819" t="s">
        <v>33</v>
      </c>
      <c r="E819" t="s">
        <v>34</v>
      </c>
      <c r="F819" t="str">
        <f>"0014451"</f>
        <v>0014451</v>
      </c>
      <c r="G819">
        <v>1</v>
      </c>
      <c r="H819" t="str">
        <f>"00000001"</f>
        <v>00000001</v>
      </c>
      <c r="I819" t="s">
        <v>35</v>
      </c>
      <c r="J819"/>
      <c r="K819">
        <v>8.9</v>
      </c>
      <c r="L819">
        <v>0.0</v>
      </c>
      <c r="M819"/>
      <c r="N819"/>
      <c r="O819">
        <v>1.6</v>
      </c>
      <c r="P819">
        <v>0.0</v>
      </c>
      <c r="Q819">
        <v>10.5</v>
      </c>
      <c r="R819"/>
      <c r="S819"/>
      <c r="T819"/>
      <c r="U819"/>
      <c r="V819"/>
      <c r="W819">
        <v>18</v>
      </c>
    </row>
    <row r="820" spans="1:23">
      <c r="A820"/>
      <c r="B820" t="s">
        <v>102</v>
      </c>
      <c r="C820" t="s">
        <v>102</v>
      </c>
      <c r="D820" t="s">
        <v>33</v>
      </c>
      <c r="E820" t="s">
        <v>34</v>
      </c>
      <c r="F820" t="str">
        <f>"0014452"</f>
        <v>0014452</v>
      </c>
      <c r="G820">
        <v>1</v>
      </c>
      <c r="H820" t="str">
        <f>"00000001"</f>
        <v>00000001</v>
      </c>
      <c r="I820" t="s">
        <v>35</v>
      </c>
      <c r="J820"/>
      <c r="K820">
        <v>2.12</v>
      </c>
      <c r="L820">
        <v>0.0</v>
      </c>
      <c r="M820"/>
      <c r="N820"/>
      <c r="O820">
        <v>0.38</v>
      </c>
      <c r="P820">
        <v>0.0</v>
      </c>
      <c r="Q820">
        <v>2.5</v>
      </c>
      <c r="R820"/>
      <c r="S820"/>
      <c r="T820"/>
      <c r="U820"/>
      <c r="V820"/>
      <c r="W820">
        <v>18</v>
      </c>
    </row>
    <row r="821" spans="1:23">
      <c r="A821"/>
      <c r="B821" t="s">
        <v>102</v>
      </c>
      <c r="C821" t="s">
        <v>102</v>
      </c>
      <c r="D821" t="s">
        <v>33</v>
      </c>
      <c r="E821" t="s">
        <v>34</v>
      </c>
      <c r="F821" t="str">
        <f>"0014453"</f>
        <v>0014453</v>
      </c>
      <c r="G821">
        <v>1</v>
      </c>
      <c r="H821" t="str">
        <f>"00000001"</f>
        <v>00000001</v>
      </c>
      <c r="I821" t="s">
        <v>35</v>
      </c>
      <c r="J821"/>
      <c r="K821">
        <v>3.39</v>
      </c>
      <c r="L821">
        <v>0.0</v>
      </c>
      <c r="M821"/>
      <c r="N821"/>
      <c r="O821">
        <v>0.61</v>
      </c>
      <c r="P821">
        <v>0.0</v>
      </c>
      <c r="Q821">
        <v>4.0</v>
      </c>
      <c r="R821"/>
      <c r="S821"/>
      <c r="T821"/>
      <c r="U821"/>
      <c r="V821"/>
      <c r="W821">
        <v>18</v>
      </c>
    </row>
    <row r="822" spans="1:23">
      <c r="A822"/>
      <c r="B822" t="s">
        <v>102</v>
      </c>
      <c r="C822" t="s">
        <v>102</v>
      </c>
      <c r="D822" t="s">
        <v>33</v>
      </c>
      <c r="E822" t="s">
        <v>34</v>
      </c>
      <c r="F822" t="str">
        <f>"0014454"</f>
        <v>0014454</v>
      </c>
      <c r="G822">
        <v>1</v>
      </c>
      <c r="H822" t="str">
        <f>"00000001"</f>
        <v>00000001</v>
      </c>
      <c r="I822" t="s">
        <v>35</v>
      </c>
      <c r="J822"/>
      <c r="K822">
        <v>6.36</v>
      </c>
      <c r="L822">
        <v>0.0</v>
      </c>
      <c r="M822"/>
      <c r="N822"/>
      <c r="O822">
        <v>1.14</v>
      </c>
      <c r="P822">
        <v>0.0</v>
      </c>
      <c r="Q822">
        <v>7.5</v>
      </c>
      <c r="R822"/>
      <c r="S822"/>
      <c r="T822"/>
      <c r="U822"/>
      <c r="V822"/>
      <c r="W822">
        <v>18</v>
      </c>
    </row>
    <row r="823" spans="1:23">
      <c r="A823"/>
      <c r="B823" t="s">
        <v>102</v>
      </c>
      <c r="C823" t="s">
        <v>102</v>
      </c>
      <c r="D823" t="s">
        <v>33</v>
      </c>
      <c r="E823" t="s">
        <v>34</v>
      </c>
      <c r="F823" t="str">
        <f>"0014455"</f>
        <v>0014455</v>
      </c>
      <c r="G823">
        <v>1</v>
      </c>
      <c r="H823" t="str">
        <f>"00000001"</f>
        <v>00000001</v>
      </c>
      <c r="I823" t="s">
        <v>35</v>
      </c>
      <c r="J823"/>
      <c r="K823">
        <v>10.17</v>
      </c>
      <c r="L823">
        <v>0.0</v>
      </c>
      <c r="M823"/>
      <c r="N823"/>
      <c r="O823">
        <v>1.83</v>
      </c>
      <c r="P823">
        <v>0.0</v>
      </c>
      <c r="Q823">
        <v>12.0</v>
      </c>
      <c r="R823"/>
      <c r="S823"/>
      <c r="T823"/>
      <c r="U823"/>
      <c r="V823"/>
      <c r="W823">
        <v>18</v>
      </c>
    </row>
    <row r="824" spans="1:23">
      <c r="A824"/>
      <c r="B824" t="s">
        <v>102</v>
      </c>
      <c r="C824" t="s">
        <v>102</v>
      </c>
      <c r="D824" t="s">
        <v>33</v>
      </c>
      <c r="E824" t="s">
        <v>34</v>
      </c>
      <c r="F824" t="str">
        <f>"0014456"</f>
        <v>0014456</v>
      </c>
      <c r="G824">
        <v>1</v>
      </c>
      <c r="H824" t="str">
        <f>"00000001"</f>
        <v>00000001</v>
      </c>
      <c r="I824" t="s">
        <v>35</v>
      </c>
      <c r="J824"/>
      <c r="K824">
        <v>4.66</v>
      </c>
      <c r="L824">
        <v>0.0</v>
      </c>
      <c r="M824"/>
      <c r="N824"/>
      <c r="O824">
        <v>0.84</v>
      </c>
      <c r="P824">
        <v>0.0</v>
      </c>
      <c r="Q824">
        <v>5.5</v>
      </c>
      <c r="R824"/>
      <c r="S824"/>
      <c r="T824"/>
      <c r="U824"/>
      <c r="V824"/>
      <c r="W824">
        <v>18</v>
      </c>
    </row>
    <row r="825" spans="1:23">
      <c r="A825"/>
      <c r="B825" t="s">
        <v>102</v>
      </c>
      <c r="C825" t="s">
        <v>102</v>
      </c>
      <c r="D825" t="s">
        <v>33</v>
      </c>
      <c r="E825" t="s">
        <v>34</v>
      </c>
      <c r="F825" t="str">
        <f>"0014457"</f>
        <v>0014457</v>
      </c>
      <c r="G825">
        <v>1</v>
      </c>
      <c r="H825" t="str">
        <f>"00000001"</f>
        <v>00000001</v>
      </c>
      <c r="I825" t="s">
        <v>35</v>
      </c>
      <c r="J825"/>
      <c r="K825">
        <v>13.56</v>
      </c>
      <c r="L825">
        <v>0.0</v>
      </c>
      <c r="M825"/>
      <c r="N825"/>
      <c r="O825">
        <v>2.44</v>
      </c>
      <c r="P825">
        <v>0.0</v>
      </c>
      <c r="Q825">
        <v>16.0</v>
      </c>
      <c r="R825"/>
      <c r="S825"/>
      <c r="T825"/>
      <c r="U825"/>
      <c r="V825"/>
      <c r="W825">
        <v>18</v>
      </c>
    </row>
    <row r="826" spans="1:23">
      <c r="A826"/>
      <c r="B826" t="s">
        <v>102</v>
      </c>
      <c r="C826" t="s">
        <v>102</v>
      </c>
      <c r="D826" t="s">
        <v>33</v>
      </c>
      <c r="E826" t="s">
        <v>34</v>
      </c>
      <c r="F826" t="str">
        <f>"0014458"</f>
        <v>0014458</v>
      </c>
      <c r="G826">
        <v>1</v>
      </c>
      <c r="H826" t="str">
        <f>"00000001"</f>
        <v>00000001</v>
      </c>
      <c r="I826" t="s">
        <v>35</v>
      </c>
      <c r="J826"/>
      <c r="K826">
        <v>11.02</v>
      </c>
      <c r="L826">
        <v>0.0</v>
      </c>
      <c r="M826"/>
      <c r="N826"/>
      <c r="O826">
        <v>1.98</v>
      </c>
      <c r="P826">
        <v>0.0</v>
      </c>
      <c r="Q826">
        <v>13.0</v>
      </c>
      <c r="R826"/>
      <c r="S826"/>
      <c r="T826"/>
      <c r="U826"/>
      <c r="V826"/>
      <c r="W826">
        <v>18</v>
      </c>
    </row>
    <row r="827" spans="1:23">
      <c r="A827"/>
      <c r="B827" t="s">
        <v>102</v>
      </c>
      <c r="C827" t="s">
        <v>102</v>
      </c>
      <c r="D827" t="s">
        <v>33</v>
      </c>
      <c r="E827" t="s">
        <v>34</v>
      </c>
      <c r="F827" t="str">
        <f>"0014459"</f>
        <v>0014459</v>
      </c>
      <c r="G827">
        <v>1</v>
      </c>
      <c r="H827" t="str">
        <f>"00000001"</f>
        <v>00000001</v>
      </c>
      <c r="I827" t="s">
        <v>35</v>
      </c>
      <c r="J827"/>
      <c r="K827">
        <v>4.24</v>
      </c>
      <c r="L827">
        <v>0.0</v>
      </c>
      <c r="M827"/>
      <c r="N827"/>
      <c r="O827">
        <v>0.76</v>
      </c>
      <c r="P827">
        <v>0.0</v>
      </c>
      <c r="Q827">
        <v>5.0</v>
      </c>
      <c r="R827"/>
      <c r="S827"/>
      <c r="T827"/>
      <c r="U827"/>
      <c r="V827"/>
      <c r="W827">
        <v>18</v>
      </c>
    </row>
    <row r="828" spans="1:23">
      <c r="A828"/>
      <c r="B828" t="s">
        <v>102</v>
      </c>
      <c r="C828" t="s">
        <v>102</v>
      </c>
      <c r="D828" t="s">
        <v>33</v>
      </c>
      <c r="E828" t="s">
        <v>34</v>
      </c>
      <c r="F828" t="str">
        <f>"0014460"</f>
        <v>0014460</v>
      </c>
      <c r="G828">
        <v>1</v>
      </c>
      <c r="H828" t="str">
        <f>"00000001"</f>
        <v>00000001</v>
      </c>
      <c r="I828" t="s">
        <v>35</v>
      </c>
      <c r="J828"/>
      <c r="K828">
        <v>3.39</v>
      </c>
      <c r="L828">
        <v>0.0</v>
      </c>
      <c r="M828"/>
      <c r="N828"/>
      <c r="O828">
        <v>0.61</v>
      </c>
      <c r="P828">
        <v>0.0</v>
      </c>
      <c r="Q828">
        <v>4.0</v>
      </c>
      <c r="R828"/>
      <c r="S828"/>
      <c r="T828"/>
      <c r="U828"/>
      <c r="V828"/>
      <c r="W828">
        <v>18</v>
      </c>
    </row>
    <row r="829" spans="1:23">
      <c r="A829"/>
      <c r="B829" t="s">
        <v>102</v>
      </c>
      <c r="C829" t="s">
        <v>102</v>
      </c>
      <c r="D829" t="s">
        <v>33</v>
      </c>
      <c r="E829" t="s">
        <v>34</v>
      </c>
      <c r="F829" t="str">
        <f>"0014461"</f>
        <v>0014461</v>
      </c>
      <c r="G829">
        <v>1</v>
      </c>
      <c r="H829" t="str">
        <f>"00000001"</f>
        <v>00000001</v>
      </c>
      <c r="I829" t="s">
        <v>35</v>
      </c>
      <c r="J829"/>
      <c r="K829">
        <v>5.51</v>
      </c>
      <c r="L829">
        <v>0.0</v>
      </c>
      <c r="M829"/>
      <c r="N829"/>
      <c r="O829">
        <v>0.99</v>
      </c>
      <c r="P829">
        <v>0.0</v>
      </c>
      <c r="Q829">
        <v>6.5</v>
      </c>
      <c r="R829"/>
      <c r="S829"/>
      <c r="T829"/>
      <c r="U829"/>
      <c r="V829"/>
      <c r="W829">
        <v>18</v>
      </c>
    </row>
    <row r="830" spans="1:23">
      <c r="A830"/>
      <c r="B830" t="s">
        <v>102</v>
      </c>
      <c r="C830" t="s">
        <v>102</v>
      </c>
      <c r="D830" t="s">
        <v>33</v>
      </c>
      <c r="E830" t="s">
        <v>34</v>
      </c>
      <c r="F830" t="str">
        <f>"0014462"</f>
        <v>0014462</v>
      </c>
      <c r="G830">
        <v>1</v>
      </c>
      <c r="H830" t="str">
        <f>"00000001"</f>
        <v>00000001</v>
      </c>
      <c r="I830" t="s">
        <v>35</v>
      </c>
      <c r="J830"/>
      <c r="K830">
        <v>16.95</v>
      </c>
      <c r="L830">
        <v>0.0</v>
      </c>
      <c r="M830"/>
      <c r="N830"/>
      <c r="O830">
        <v>3.05</v>
      </c>
      <c r="P830">
        <v>0.0</v>
      </c>
      <c r="Q830">
        <v>20.0</v>
      </c>
      <c r="R830"/>
      <c r="S830"/>
      <c r="T830"/>
      <c r="U830"/>
      <c r="V830"/>
      <c r="W830">
        <v>18</v>
      </c>
    </row>
    <row r="831" spans="1:23">
      <c r="A831"/>
      <c r="B831" t="s">
        <v>102</v>
      </c>
      <c r="C831" t="s">
        <v>102</v>
      </c>
      <c r="D831" t="s">
        <v>33</v>
      </c>
      <c r="E831" t="s">
        <v>34</v>
      </c>
      <c r="F831" t="str">
        <f>"0014463"</f>
        <v>0014463</v>
      </c>
      <c r="G831">
        <v>1</v>
      </c>
      <c r="H831" t="str">
        <f>"00000001"</f>
        <v>00000001</v>
      </c>
      <c r="I831" t="s">
        <v>35</v>
      </c>
      <c r="J831"/>
      <c r="K831">
        <v>2.54</v>
      </c>
      <c r="L831">
        <v>0.0</v>
      </c>
      <c r="M831"/>
      <c r="N831"/>
      <c r="O831">
        <v>0.46</v>
      </c>
      <c r="P831">
        <v>0.0</v>
      </c>
      <c r="Q831">
        <v>3.0</v>
      </c>
      <c r="R831"/>
      <c r="S831"/>
      <c r="T831"/>
      <c r="U831"/>
      <c r="V831"/>
      <c r="W831">
        <v>18</v>
      </c>
    </row>
    <row r="832" spans="1:23">
      <c r="A832"/>
      <c r="B832" t="s">
        <v>102</v>
      </c>
      <c r="C832" t="s">
        <v>102</v>
      </c>
      <c r="D832" t="s">
        <v>33</v>
      </c>
      <c r="E832" t="s">
        <v>34</v>
      </c>
      <c r="F832" t="str">
        <f>"0014464"</f>
        <v>0014464</v>
      </c>
      <c r="G832">
        <v>1</v>
      </c>
      <c r="H832" t="str">
        <f>"00000001"</f>
        <v>00000001</v>
      </c>
      <c r="I832" t="s">
        <v>35</v>
      </c>
      <c r="J832"/>
      <c r="K832">
        <v>3.39</v>
      </c>
      <c r="L832">
        <v>0.0</v>
      </c>
      <c r="M832"/>
      <c r="N832"/>
      <c r="O832">
        <v>0.61</v>
      </c>
      <c r="P832">
        <v>0.0</v>
      </c>
      <c r="Q832">
        <v>4.0</v>
      </c>
      <c r="R832"/>
      <c r="S832"/>
      <c r="T832"/>
      <c r="U832"/>
      <c r="V832"/>
      <c r="W832">
        <v>18</v>
      </c>
    </row>
    <row r="833" spans="1:23">
      <c r="A833"/>
      <c r="B833" t="s">
        <v>102</v>
      </c>
      <c r="C833" t="s">
        <v>102</v>
      </c>
      <c r="D833" t="s">
        <v>33</v>
      </c>
      <c r="E833" t="s">
        <v>34</v>
      </c>
      <c r="F833" t="str">
        <f>"0014465"</f>
        <v>0014465</v>
      </c>
      <c r="G833">
        <v>1</v>
      </c>
      <c r="H833" t="str">
        <f>"00000001"</f>
        <v>00000001</v>
      </c>
      <c r="I833" t="s">
        <v>35</v>
      </c>
      <c r="J833"/>
      <c r="K833">
        <v>6.36</v>
      </c>
      <c r="L833">
        <v>0.0</v>
      </c>
      <c r="M833"/>
      <c r="N833"/>
      <c r="O833">
        <v>1.14</v>
      </c>
      <c r="P833">
        <v>0.0</v>
      </c>
      <c r="Q833">
        <v>7.5</v>
      </c>
      <c r="R833"/>
      <c r="S833"/>
      <c r="T833"/>
      <c r="U833"/>
      <c r="V833"/>
      <c r="W833">
        <v>18</v>
      </c>
    </row>
    <row r="834" spans="1:23">
      <c r="A834"/>
      <c r="B834" t="s">
        <v>102</v>
      </c>
      <c r="C834" t="s">
        <v>102</v>
      </c>
      <c r="D834" t="s">
        <v>33</v>
      </c>
      <c r="E834" t="s">
        <v>34</v>
      </c>
      <c r="F834" t="str">
        <f>"0014466"</f>
        <v>0014466</v>
      </c>
      <c r="G834">
        <v>1</v>
      </c>
      <c r="H834" t="str">
        <f>"00IENSDL"</f>
        <v>00IENSDL</v>
      </c>
      <c r="I834" t="s">
        <v>94</v>
      </c>
      <c r="J834"/>
      <c r="K834">
        <v>7.63</v>
      </c>
      <c r="L834">
        <v>0.0</v>
      </c>
      <c r="M834"/>
      <c r="N834"/>
      <c r="O834">
        <v>1.37</v>
      </c>
      <c r="P834">
        <v>0.0</v>
      </c>
      <c r="Q834">
        <v>9.0</v>
      </c>
      <c r="R834"/>
      <c r="S834"/>
      <c r="T834"/>
      <c r="U834"/>
      <c r="V834"/>
      <c r="W834">
        <v>18</v>
      </c>
    </row>
    <row r="835" spans="1:23">
      <c r="A835"/>
      <c r="B835" t="s">
        <v>102</v>
      </c>
      <c r="C835" t="s">
        <v>102</v>
      </c>
      <c r="D835" t="s">
        <v>33</v>
      </c>
      <c r="E835" t="s">
        <v>34</v>
      </c>
      <c r="F835" t="str">
        <f>"0014467"</f>
        <v>0014467</v>
      </c>
      <c r="G835">
        <v>6</v>
      </c>
      <c r="H835" t="str">
        <f>"20613142313"</f>
        <v>20613142313</v>
      </c>
      <c r="I835" t="s">
        <v>104</v>
      </c>
      <c r="J835"/>
      <c r="K835">
        <v>224.58</v>
      </c>
      <c r="L835">
        <v>0.0</v>
      </c>
      <c r="M835"/>
      <c r="N835"/>
      <c r="O835">
        <v>40.42</v>
      </c>
      <c r="P835">
        <v>0.0</v>
      </c>
      <c r="Q835">
        <v>265.0</v>
      </c>
      <c r="R835"/>
      <c r="S835"/>
      <c r="T835"/>
      <c r="U835"/>
      <c r="V835"/>
      <c r="W835">
        <v>18</v>
      </c>
    </row>
    <row r="836" spans="1:23">
      <c r="A836"/>
      <c r="B836" t="s">
        <v>102</v>
      </c>
      <c r="C836" t="s">
        <v>102</v>
      </c>
      <c r="D836" t="s">
        <v>33</v>
      </c>
      <c r="E836" t="s">
        <v>34</v>
      </c>
      <c r="F836" t="str">
        <f>"0014468"</f>
        <v>0014468</v>
      </c>
      <c r="G836">
        <v>1</v>
      </c>
      <c r="H836" t="str">
        <f>"00000001"</f>
        <v>00000001</v>
      </c>
      <c r="I836" t="s">
        <v>35</v>
      </c>
      <c r="J836"/>
      <c r="K836">
        <v>5.08</v>
      </c>
      <c r="L836">
        <v>0.0</v>
      </c>
      <c r="M836"/>
      <c r="N836"/>
      <c r="O836">
        <v>0.92</v>
      </c>
      <c r="P836">
        <v>0.0</v>
      </c>
      <c r="Q836">
        <v>6.0</v>
      </c>
      <c r="R836"/>
      <c r="S836"/>
      <c r="T836"/>
      <c r="U836"/>
      <c r="V836"/>
      <c r="W836">
        <v>18</v>
      </c>
    </row>
    <row r="837" spans="1:23">
      <c r="A837"/>
      <c r="B837" t="s">
        <v>102</v>
      </c>
      <c r="C837" t="s">
        <v>102</v>
      </c>
      <c r="D837" t="s">
        <v>33</v>
      </c>
      <c r="E837" t="s">
        <v>34</v>
      </c>
      <c r="F837" t="str">
        <f>"0014469"</f>
        <v>0014469</v>
      </c>
      <c r="G837">
        <v>1</v>
      </c>
      <c r="H837" t="str">
        <f>"00000001"</f>
        <v>00000001</v>
      </c>
      <c r="I837" t="s">
        <v>35</v>
      </c>
      <c r="J837"/>
      <c r="K837">
        <v>11.86</v>
      </c>
      <c r="L837">
        <v>0.0</v>
      </c>
      <c r="M837"/>
      <c r="N837"/>
      <c r="O837">
        <v>2.14</v>
      </c>
      <c r="P837">
        <v>0.0</v>
      </c>
      <c r="Q837">
        <v>14.0</v>
      </c>
      <c r="R837"/>
      <c r="S837"/>
      <c r="T837"/>
      <c r="U837"/>
      <c r="V837"/>
      <c r="W837">
        <v>18</v>
      </c>
    </row>
    <row r="838" spans="1:23">
      <c r="A838"/>
      <c r="B838" t="s">
        <v>102</v>
      </c>
      <c r="C838" t="s">
        <v>102</v>
      </c>
      <c r="D838" t="s">
        <v>33</v>
      </c>
      <c r="E838" t="s">
        <v>34</v>
      </c>
      <c r="F838" t="str">
        <f>"0014470"</f>
        <v>0014470</v>
      </c>
      <c r="G838">
        <v>6</v>
      </c>
      <c r="H838" t="str">
        <f>"20131369981"</f>
        <v>20131369981</v>
      </c>
      <c r="I838" t="s">
        <v>105</v>
      </c>
      <c r="J838"/>
      <c r="K838">
        <v>5.08</v>
      </c>
      <c r="L838">
        <v>0.0</v>
      </c>
      <c r="M838"/>
      <c r="N838"/>
      <c r="O838">
        <v>0.92</v>
      </c>
      <c r="P838">
        <v>0.0</v>
      </c>
      <c r="Q838">
        <v>6.0</v>
      </c>
      <c r="R838"/>
      <c r="S838"/>
      <c r="T838"/>
      <c r="U838"/>
      <c r="V838"/>
      <c r="W838">
        <v>18</v>
      </c>
    </row>
    <row r="839" spans="1:23">
      <c r="A839"/>
      <c r="B839" t="s">
        <v>102</v>
      </c>
      <c r="C839" t="s">
        <v>102</v>
      </c>
      <c r="D839" t="s">
        <v>33</v>
      </c>
      <c r="E839" t="s">
        <v>34</v>
      </c>
      <c r="F839" t="str">
        <f>"0014471"</f>
        <v>0014471</v>
      </c>
      <c r="G839">
        <v>1</v>
      </c>
      <c r="H839" t="str">
        <f>"00000001"</f>
        <v>00000001</v>
      </c>
      <c r="I839" t="s">
        <v>35</v>
      </c>
      <c r="J839"/>
      <c r="K839">
        <v>7.63</v>
      </c>
      <c r="L839">
        <v>0.0</v>
      </c>
      <c r="M839"/>
      <c r="N839"/>
      <c r="O839">
        <v>1.37</v>
      </c>
      <c r="P839">
        <v>0.0</v>
      </c>
      <c r="Q839">
        <v>9.0</v>
      </c>
      <c r="R839"/>
      <c r="S839"/>
      <c r="T839"/>
      <c r="U839"/>
      <c r="V839"/>
      <c r="W839">
        <v>18</v>
      </c>
    </row>
    <row r="840" spans="1:23">
      <c r="A840"/>
      <c r="B840" t="s">
        <v>102</v>
      </c>
      <c r="C840" t="s">
        <v>102</v>
      </c>
      <c r="D840" t="s">
        <v>33</v>
      </c>
      <c r="E840" t="s">
        <v>34</v>
      </c>
      <c r="F840" t="str">
        <f>"0014472"</f>
        <v>0014472</v>
      </c>
      <c r="G840">
        <v>1</v>
      </c>
      <c r="H840" t="str">
        <f>"0000HFAV"</f>
        <v>0000HFAV</v>
      </c>
      <c r="I840" t="s">
        <v>106</v>
      </c>
      <c r="J840"/>
      <c r="K840">
        <v>14.41</v>
      </c>
      <c r="L840">
        <v>0.0</v>
      </c>
      <c r="M840"/>
      <c r="N840"/>
      <c r="O840">
        <v>2.59</v>
      </c>
      <c r="P840">
        <v>0.0</v>
      </c>
      <c r="Q840">
        <v>17.0</v>
      </c>
      <c r="R840"/>
      <c r="S840"/>
      <c r="T840"/>
      <c r="U840"/>
      <c r="V840"/>
      <c r="W840">
        <v>18</v>
      </c>
    </row>
    <row r="841" spans="1:23">
      <c r="A841"/>
      <c r="B841" t="s">
        <v>102</v>
      </c>
      <c r="C841" t="s">
        <v>102</v>
      </c>
      <c r="D841" t="s">
        <v>40</v>
      </c>
      <c r="E841" t="s">
        <v>41</v>
      </c>
      <c r="F841" t="str">
        <f>"0001282"</f>
        <v>0001282</v>
      </c>
      <c r="G841">
        <v>6</v>
      </c>
      <c r="H841" t="str">
        <f>"20554980831"</f>
        <v>20554980831</v>
      </c>
      <c r="I841" t="s">
        <v>107</v>
      </c>
      <c r="J841"/>
      <c r="K841">
        <v>8.47</v>
      </c>
      <c r="L841">
        <v>0.0</v>
      </c>
      <c r="M841"/>
      <c r="N841"/>
      <c r="O841">
        <v>1.53</v>
      </c>
      <c r="P841">
        <v>0.0</v>
      </c>
      <c r="Q841">
        <v>10.0</v>
      </c>
      <c r="R841"/>
      <c r="S841"/>
      <c r="T841"/>
      <c r="U841"/>
      <c r="V841"/>
      <c r="W841">
        <v>18</v>
      </c>
    </row>
    <row r="842" spans="1:23">
      <c r="A842"/>
      <c r="B842" t="s">
        <v>102</v>
      </c>
      <c r="C842" t="s">
        <v>102</v>
      </c>
      <c r="D842" t="s">
        <v>40</v>
      </c>
      <c r="E842" t="s">
        <v>41</v>
      </c>
      <c r="F842" t="str">
        <f>"0001283"</f>
        <v>0001283</v>
      </c>
      <c r="G842">
        <v>6</v>
      </c>
      <c r="H842" t="str">
        <f>"20554980831"</f>
        <v>20554980831</v>
      </c>
      <c r="I842" t="s">
        <v>107</v>
      </c>
      <c r="J842"/>
      <c r="K842">
        <v>11.86</v>
      </c>
      <c r="L842">
        <v>0.0</v>
      </c>
      <c r="M842"/>
      <c r="N842"/>
      <c r="O842">
        <v>2.14</v>
      </c>
      <c r="P842">
        <v>0.0</v>
      </c>
      <c r="Q842">
        <v>14.0</v>
      </c>
      <c r="R842"/>
      <c r="S842"/>
      <c r="T842"/>
      <c r="U842"/>
      <c r="V842"/>
      <c r="W842">
        <v>18</v>
      </c>
    </row>
    <row r="843" spans="1:23">
      <c r="A843"/>
      <c r="B843" t="s">
        <v>102</v>
      </c>
      <c r="C843" t="s">
        <v>102</v>
      </c>
      <c r="D843" t="s">
        <v>33</v>
      </c>
      <c r="E843" t="s">
        <v>34</v>
      </c>
      <c r="F843" t="str">
        <f>"0014473"</f>
        <v>0014473</v>
      </c>
      <c r="G843">
        <v>1</v>
      </c>
      <c r="H843" t="str">
        <f>"00000001"</f>
        <v>00000001</v>
      </c>
      <c r="I843" t="s">
        <v>35</v>
      </c>
      <c r="J843"/>
      <c r="K843">
        <v>8.47</v>
      </c>
      <c r="L843">
        <v>0.0</v>
      </c>
      <c r="M843"/>
      <c r="N843"/>
      <c r="O843">
        <v>1.53</v>
      </c>
      <c r="P843">
        <v>0.0</v>
      </c>
      <c r="Q843">
        <v>10.0</v>
      </c>
      <c r="R843"/>
      <c r="S843"/>
      <c r="T843"/>
      <c r="U843"/>
      <c r="V843"/>
      <c r="W843">
        <v>18</v>
      </c>
    </row>
    <row r="844" spans="1:23">
      <c r="A844"/>
      <c r="B844" t="s">
        <v>102</v>
      </c>
      <c r="C844" t="s">
        <v>102</v>
      </c>
      <c r="D844" t="s">
        <v>33</v>
      </c>
      <c r="E844" t="s">
        <v>34</v>
      </c>
      <c r="F844" t="str">
        <f>"0014474"</f>
        <v>0014474</v>
      </c>
      <c r="G844">
        <v>1</v>
      </c>
      <c r="H844" t="str">
        <f>"00000001"</f>
        <v>00000001</v>
      </c>
      <c r="I844" t="s">
        <v>35</v>
      </c>
      <c r="J844"/>
      <c r="K844">
        <v>27.97</v>
      </c>
      <c r="L844">
        <v>0.0</v>
      </c>
      <c r="M844"/>
      <c r="N844"/>
      <c r="O844">
        <v>5.03</v>
      </c>
      <c r="P844">
        <v>0.0</v>
      </c>
      <c r="Q844">
        <v>33.0</v>
      </c>
      <c r="R844"/>
      <c r="S844"/>
      <c r="T844"/>
      <c r="U844"/>
      <c r="V844"/>
      <c r="W844">
        <v>18</v>
      </c>
    </row>
    <row r="845" spans="1:23">
      <c r="A845"/>
      <c r="B845" t="s">
        <v>102</v>
      </c>
      <c r="C845" t="s">
        <v>102</v>
      </c>
      <c r="D845" t="s">
        <v>33</v>
      </c>
      <c r="E845" t="s">
        <v>34</v>
      </c>
      <c r="F845" t="str">
        <f>"0014475"</f>
        <v>0014475</v>
      </c>
      <c r="G845">
        <v>1</v>
      </c>
      <c r="H845" t="str">
        <f>"00000001"</f>
        <v>00000001</v>
      </c>
      <c r="I845" t="s">
        <v>35</v>
      </c>
      <c r="J845"/>
      <c r="K845">
        <v>25.42</v>
      </c>
      <c r="L845">
        <v>0.0</v>
      </c>
      <c r="M845"/>
      <c r="N845"/>
      <c r="O845">
        <v>4.58</v>
      </c>
      <c r="P845">
        <v>0.0</v>
      </c>
      <c r="Q845">
        <v>30.0</v>
      </c>
      <c r="R845"/>
      <c r="S845"/>
      <c r="T845"/>
      <c r="U845"/>
      <c r="V845"/>
      <c r="W845">
        <v>18</v>
      </c>
    </row>
    <row r="846" spans="1:23">
      <c r="A846"/>
      <c r="B846" t="s">
        <v>102</v>
      </c>
      <c r="C846" t="s">
        <v>102</v>
      </c>
      <c r="D846" t="s">
        <v>33</v>
      </c>
      <c r="E846" t="s">
        <v>34</v>
      </c>
      <c r="F846" t="str">
        <f>"0014476"</f>
        <v>0014476</v>
      </c>
      <c r="G846">
        <v>1</v>
      </c>
      <c r="H846" t="str">
        <f>"00000001"</f>
        <v>00000001</v>
      </c>
      <c r="I846" t="s">
        <v>35</v>
      </c>
      <c r="J846"/>
      <c r="K846">
        <v>9.15</v>
      </c>
      <c r="L846">
        <v>0.0</v>
      </c>
      <c r="M846"/>
      <c r="N846"/>
      <c r="O846">
        <v>1.65</v>
      </c>
      <c r="P846">
        <v>0.0</v>
      </c>
      <c r="Q846">
        <v>10.8</v>
      </c>
      <c r="R846"/>
      <c r="S846"/>
      <c r="T846"/>
      <c r="U846"/>
      <c r="V846"/>
      <c r="W846">
        <v>18</v>
      </c>
    </row>
    <row r="847" spans="1:23">
      <c r="A847"/>
      <c r="B847" t="s">
        <v>102</v>
      </c>
      <c r="C847" t="s">
        <v>102</v>
      </c>
      <c r="D847" t="s">
        <v>33</v>
      </c>
      <c r="E847" t="s">
        <v>34</v>
      </c>
      <c r="F847" t="str">
        <f>"0014477"</f>
        <v>0014477</v>
      </c>
      <c r="G847">
        <v>1</v>
      </c>
      <c r="H847" t="str">
        <f>"00000001"</f>
        <v>00000001</v>
      </c>
      <c r="I847" t="s">
        <v>35</v>
      </c>
      <c r="J847"/>
      <c r="K847">
        <v>3.39</v>
      </c>
      <c r="L847">
        <v>0.0</v>
      </c>
      <c r="M847"/>
      <c r="N847"/>
      <c r="O847">
        <v>0.61</v>
      </c>
      <c r="P847">
        <v>0.0</v>
      </c>
      <c r="Q847">
        <v>4.0</v>
      </c>
      <c r="R847"/>
      <c r="S847"/>
      <c r="T847"/>
      <c r="U847"/>
      <c r="V847"/>
      <c r="W847">
        <v>18</v>
      </c>
    </row>
    <row r="848" spans="1:23">
      <c r="A848"/>
      <c r="B848" t="s">
        <v>102</v>
      </c>
      <c r="C848" t="s">
        <v>102</v>
      </c>
      <c r="D848" t="s">
        <v>33</v>
      </c>
      <c r="E848" t="s">
        <v>34</v>
      </c>
      <c r="F848" t="str">
        <f>"0014478"</f>
        <v>0014478</v>
      </c>
      <c r="G848">
        <v>1</v>
      </c>
      <c r="H848" t="str">
        <f>"00000001"</f>
        <v>00000001</v>
      </c>
      <c r="I848" t="s">
        <v>35</v>
      </c>
      <c r="J848"/>
      <c r="K848">
        <v>4.24</v>
      </c>
      <c r="L848">
        <v>0.0</v>
      </c>
      <c r="M848"/>
      <c r="N848"/>
      <c r="O848">
        <v>0.76</v>
      </c>
      <c r="P848">
        <v>0.0</v>
      </c>
      <c r="Q848">
        <v>5.0</v>
      </c>
      <c r="R848"/>
      <c r="S848"/>
      <c r="T848"/>
      <c r="U848"/>
      <c r="V848"/>
      <c r="W848">
        <v>18</v>
      </c>
    </row>
    <row r="849" spans="1:23">
      <c r="A849"/>
      <c r="B849" t="s">
        <v>102</v>
      </c>
      <c r="C849" t="s">
        <v>102</v>
      </c>
      <c r="D849" t="s">
        <v>33</v>
      </c>
      <c r="E849" t="s">
        <v>34</v>
      </c>
      <c r="F849" t="str">
        <f>"0014479"</f>
        <v>0014479</v>
      </c>
      <c r="G849">
        <v>1</v>
      </c>
      <c r="H849" t="str">
        <f>"00000001"</f>
        <v>00000001</v>
      </c>
      <c r="I849" t="s">
        <v>35</v>
      </c>
      <c r="J849"/>
      <c r="K849">
        <v>5.08</v>
      </c>
      <c r="L849">
        <v>0.0</v>
      </c>
      <c r="M849"/>
      <c r="N849"/>
      <c r="O849">
        <v>0.92</v>
      </c>
      <c r="P849">
        <v>0.0</v>
      </c>
      <c r="Q849">
        <v>6.0</v>
      </c>
      <c r="R849"/>
      <c r="S849"/>
      <c r="T849"/>
      <c r="U849"/>
      <c r="V849"/>
      <c r="W849">
        <v>18</v>
      </c>
    </row>
    <row r="850" spans="1:23">
      <c r="A850"/>
      <c r="B850" t="s">
        <v>102</v>
      </c>
      <c r="C850" t="s">
        <v>102</v>
      </c>
      <c r="D850" t="s">
        <v>33</v>
      </c>
      <c r="E850" t="s">
        <v>34</v>
      </c>
      <c r="F850" t="str">
        <f>"0014480"</f>
        <v>0014480</v>
      </c>
      <c r="G850">
        <v>1</v>
      </c>
      <c r="H850" t="str">
        <f>"00000001"</f>
        <v>00000001</v>
      </c>
      <c r="I850" t="s">
        <v>35</v>
      </c>
      <c r="J850"/>
      <c r="K850">
        <v>6.78</v>
      </c>
      <c r="L850">
        <v>0.0</v>
      </c>
      <c r="M850"/>
      <c r="N850"/>
      <c r="O850">
        <v>1.22</v>
      </c>
      <c r="P850">
        <v>0.0</v>
      </c>
      <c r="Q850">
        <v>8.0</v>
      </c>
      <c r="R850"/>
      <c r="S850"/>
      <c r="T850"/>
      <c r="U850"/>
      <c r="V850"/>
      <c r="W850">
        <v>18</v>
      </c>
    </row>
    <row r="851" spans="1:23">
      <c r="A851"/>
      <c r="B851" t="s">
        <v>102</v>
      </c>
      <c r="C851" t="s">
        <v>102</v>
      </c>
      <c r="D851" t="s">
        <v>33</v>
      </c>
      <c r="E851" t="s">
        <v>34</v>
      </c>
      <c r="F851" t="str">
        <f>"0014481"</f>
        <v>0014481</v>
      </c>
      <c r="G851">
        <v>1</v>
      </c>
      <c r="H851" t="str">
        <f>"00000001"</f>
        <v>00000001</v>
      </c>
      <c r="I851" t="s">
        <v>35</v>
      </c>
      <c r="J851"/>
      <c r="K851">
        <v>5.08</v>
      </c>
      <c r="L851">
        <v>0.0</v>
      </c>
      <c r="M851"/>
      <c r="N851"/>
      <c r="O851">
        <v>0.92</v>
      </c>
      <c r="P851">
        <v>0.0</v>
      </c>
      <c r="Q851">
        <v>6.0</v>
      </c>
      <c r="R851"/>
      <c r="S851"/>
      <c r="T851"/>
      <c r="U851"/>
      <c r="V851"/>
      <c r="W851">
        <v>18</v>
      </c>
    </row>
    <row r="852" spans="1:23">
      <c r="A852"/>
      <c r="B852" t="s">
        <v>102</v>
      </c>
      <c r="C852" t="s">
        <v>102</v>
      </c>
      <c r="D852" t="s">
        <v>33</v>
      </c>
      <c r="E852" t="s">
        <v>34</v>
      </c>
      <c r="F852" t="str">
        <f>"0014482"</f>
        <v>0014482</v>
      </c>
      <c r="G852">
        <v>1</v>
      </c>
      <c r="H852" t="str">
        <f>"00000001"</f>
        <v>00000001</v>
      </c>
      <c r="I852" t="s">
        <v>35</v>
      </c>
      <c r="J852"/>
      <c r="K852">
        <v>6.36</v>
      </c>
      <c r="L852">
        <v>0.0</v>
      </c>
      <c r="M852"/>
      <c r="N852"/>
      <c r="O852">
        <v>1.14</v>
      </c>
      <c r="P852">
        <v>0.0</v>
      </c>
      <c r="Q852">
        <v>7.5</v>
      </c>
      <c r="R852"/>
      <c r="S852"/>
      <c r="T852"/>
      <c r="U852"/>
      <c r="V852"/>
      <c r="W852">
        <v>18</v>
      </c>
    </row>
    <row r="853" spans="1:23">
      <c r="A853"/>
      <c r="B853" t="s">
        <v>102</v>
      </c>
      <c r="C853" t="s">
        <v>102</v>
      </c>
      <c r="D853" t="s">
        <v>33</v>
      </c>
      <c r="E853" t="s">
        <v>34</v>
      </c>
      <c r="F853" t="str">
        <f>"0014483"</f>
        <v>0014483</v>
      </c>
      <c r="G853">
        <v>1</v>
      </c>
      <c r="H853" t="str">
        <f>"00000001"</f>
        <v>00000001</v>
      </c>
      <c r="I853" t="s">
        <v>35</v>
      </c>
      <c r="J853"/>
      <c r="K853">
        <v>4.24</v>
      </c>
      <c r="L853">
        <v>0.0</v>
      </c>
      <c r="M853"/>
      <c r="N853"/>
      <c r="O853">
        <v>0.76</v>
      </c>
      <c r="P853">
        <v>0.0</v>
      </c>
      <c r="Q853">
        <v>5.0</v>
      </c>
      <c r="R853"/>
      <c r="S853"/>
      <c r="T853"/>
      <c r="U853"/>
      <c r="V853"/>
      <c r="W853">
        <v>18</v>
      </c>
    </row>
    <row r="854" spans="1:23">
      <c r="A854"/>
      <c r="B854" t="s">
        <v>102</v>
      </c>
      <c r="C854" t="s">
        <v>102</v>
      </c>
      <c r="D854" t="s">
        <v>33</v>
      </c>
      <c r="E854" t="s">
        <v>34</v>
      </c>
      <c r="F854" t="str">
        <f>"0014484"</f>
        <v>0014484</v>
      </c>
      <c r="G854">
        <v>1</v>
      </c>
      <c r="H854" t="str">
        <f>"00000001"</f>
        <v>00000001</v>
      </c>
      <c r="I854" t="s">
        <v>35</v>
      </c>
      <c r="J854"/>
      <c r="K854">
        <v>4.66</v>
      </c>
      <c r="L854">
        <v>0.0</v>
      </c>
      <c r="M854"/>
      <c r="N854"/>
      <c r="O854">
        <v>0.84</v>
      </c>
      <c r="P854">
        <v>0.0</v>
      </c>
      <c r="Q854">
        <v>5.5</v>
      </c>
      <c r="R854"/>
      <c r="S854"/>
      <c r="T854"/>
      <c r="U854"/>
      <c r="V854"/>
      <c r="W854">
        <v>18</v>
      </c>
    </row>
    <row r="855" spans="1:23">
      <c r="A855"/>
      <c r="B855" t="s">
        <v>102</v>
      </c>
      <c r="C855" t="s">
        <v>102</v>
      </c>
      <c r="D855" t="s">
        <v>33</v>
      </c>
      <c r="E855" t="s">
        <v>34</v>
      </c>
      <c r="F855" t="str">
        <f>"0014485"</f>
        <v>0014485</v>
      </c>
      <c r="G855">
        <v>1</v>
      </c>
      <c r="H855" t="str">
        <f>"00000001"</f>
        <v>00000001</v>
      </c>
      <c r="I855" t="s">
        <v>35</v>
      </c>
      <c r="J855"/>
      <c r="K855">
        <v>16.95</v>
      </c>
      <c r="L855">
        <v>0.0</v>
      </c>
      <c r="M855"/>
      <c r="N855"/>
      <c r="O855">
        <v>3.05</v>
      </c>
      <c r="P855">
        <v>0.0</v>
      </c>
      <c r="Q855">
        <v>20.0</v>
      </c>
      <c r="R855"/>
      <c r="S855"/>
      <c r="T855"/>
      <c r="U855"/>
      <c r="V855"/>
      <c r="W855">
        <v>18</v>
      </c>
    </row>
    <row r="856" spans="1:23">
      <c r="A856"/>
      <c r="B856" t="s">
        <v>102</v>
      </c>
      <c r="C856" t="s">
        <v>102</v>
      </c>
      <c r="D856" t="s">
        <v>33</v>
      </c>
      <c r="E856" t="s">
        <v>34</v>
      </c>
      <c r="F856" t="str">
        <f>"0014486"</f>
        <v>0014486</v>
      </c>
      <c r="G856">
        <v>1</v>
      </c>
      <c r="H856" t="str">
        <f>"00000001"</f>
        <v>00000001</v>
      </c>
      <c r="I856" t="s">
        <v>35</v>
      </c>
      <c r="J856"/>
      <c r="K856">
        <v>2.54</v>
      </c>
      <c r="L856">
        <v>0.0</v>
      </c>
      <c r="M856"/>
      <c r="N856"/>
      <c r="O856">
        <v>0.46</v>
      </c>
      <c r="P856">
        <v>0.0</v>
      </c>
      <c r="Q856">
        <v>3.0</v>
      </c>
      <c r="R856"/>
      <c r="S856"/>
      <c r="T856"/>
      <c r="U856"/>
      <c r="V856"/>
      <c r="W856">
        <v>18</v>
      </c>
    </row>
    <row r="857" spans="1:23">
      <c r="A857"/>
      <c r="B857" t="s">
        <v>102</v>
      </c>
      <c r="C857" t="s">
        <v>102</v>
      </c>
      <c r="D857" t="s">
        <v>33</v>
      </c>
      <c r="E857" t="s">
        <v>34</v>
      </c>
      <c r="F857" t="str">
        <f>"0014487"</f>
        <v>0014487</v>
      </c>
      <c r="G857">
        <v>1</v>
      </c>
      <c r="H857" t="str">
        <f>"00000001"</f>
        <v>00000001</v>
      </c>
      <c r="I857" t="s">
        <v>35</v>
      </c>
      <c r="J857"/>
      <c r="K857">
        <v>5.08</v>
      </c>
      <c r="L857">
        <v>0.0</v>
      </c>
      <c r="M857"/>
      <c r="N857"/>
      <c r="O857">
        <v>0.92</v>
      </c>
      <c r="P857">
        <v>0.0</v>
      </c>
      <c r="Q857">
        <v>6.0</v>
      </c>
      <c r="R857"/>
      <c r="S857"/>
      <c r="T857"/>
      <c r="U857"/>
      <c r="V857"/>
      <c r="W857">
        <v>18</v>
      </c>
    </row>
    <row r="858" spans="1:23">
      <c r="A858"/>
      <c r="B858" t="s">
        <v>102</v>
      </c>
      <c r="C858" t="s">
        <v>102</v>
      </c>
      <c r="D858" t="s">
        <v>33</v>
      </c>
      <c r="E858" t="s">
        <v>34</v>
      </c>
      <c r="F858" t="str">
        <f>"0014488"</f>
        <v>0014488</v>
      </c>
      <c r="G858">
        <v>1</v>
      </c>
      <c r="H858" t="str">
        <f>"00000001"</f>
        <v>00000001</v>
      </c>
      <c r="I858" t="s">
        <v>35</v>
      </c>
      <c r="J858"/>
      <c r="K858">
        <v>1.69</v>
      </c>
      <c r="L858">
        <v>0.0</v>
      </c>
      <c r="M858"/>
      <c r="N858"/>
      <c r="O858">
        <v>0.31</v>
      </c>
      <c r="P858">
        <v>0.0</v>
      </c>
      <c r="Q858">
        <v>2.0</v>
      </c>
      <c r="R858"/>
      <c r="S858"/>
      <c r="T858"/>
      <c r="U858"/>
      <c r="V858"/>
      <c r="W858">
        <v>18</v>
      </c>
    </row>
    <row r="859" spans="1:23">
      <c r="A859"/>
      <c r="B859" t="s">
        <v>102</v>
      </c>
      <c r="C859" t="s">
        <v>102</v>
      </c>
      <c r="D859" t="s">
        <v>33</v>
      </c>
      <c r="E859" t="s">
        <v>34</v>
      </c>
      <c r="F859" t="str">
        <f>"0014489"</f>
        <v>0014489</v>
      </c>
      <c r="G859">
        <v>1</v>
      </c>
      <c r="H859" t="str">
        <f>"00000001"</f>
        <v>00000001</v>
      </c>
      <c r="I859" t="s">
        <v>35</v>
      </c>
      <c r="J859"/>
      <c r="K859">
        <v>30.51</v>
      </c>
      <c r="L859">
        <v>0.0</v>
      </c>
      <c r="M859"/>
      <c r="N859"/>
      <c r="O859">
        <v>5.49</v>
      </c>
      <c r="P859">
        <v>0.0</v>
      </c>
      <c r="Q859">
        <v>36.0</v>
      </c>
      <c r="R859"/>
      <c r="S859"/>
      <c r="T859"/>
      <c r="U859"/>
      <c r="V859"/>
      <c r="W859">
        <v>18</v>
      </c>
    </row>
    <row r="860" spans="1:23">
      <c r="A860"/>
      <c r="B860" t="s">
        <v>102</v>
      </c>
      <c r="C860" t="s">
        <v>102</v>
      </c>
      <c r="D860" t="s">
        <v>33</v>
      </c>
      <c r="E860" t="s">
        <v>34</v>
      </c>
      <c r="F860" t="str">
        <f>"0014490"</f>
        <v>0014490</v>
      </c>
      <c r="G860">
        <v>1</v>
      </c>
      <c r="H860" t="str">
        <f>"00000001"</f>
        <v>00000001</v>
      </c>
      <c r="I860" t="s">
        <v>35</v>
      </c>
      <c r="J860"/>
      <c r="K860">
        <v>7.63</v>
      </c>
      <c r="L860">
        <v>0.0</v>
      </c>
      <c r="M860"/>
      <c r="N860"/>
      <c r="O860">
        <v>1.37</v>
      </c>
      <c r="P860">
        <v>0.0</v>
      </c>
      <c r="Q860">
        <v>9.0</v>
      </c>
      <c r="R860"/>
      <c r="S860"/>
      <c r="T860"/>
      <c r="U860"/>
      <c r="V860"/>
      <c r="W860">
        <v>18</v>
      </c>
    </row>
    <row r="861" spans="1:23">
      <c r="A861"/>
      <c r="B861" t="s">
        <v>108</v>
      </c>
      <c r="C861" t="s">
        <v>108</v>
      </c>
      <c r="D861" t="s">
        <v>33</v>
      </c>
      <c r="E861" t="s">
        <v>34</v>
      </c>
      <c r="F861" t="str">
        <f>"0014491"</f>
        <v>0014491</v>
      </c>
      <c r="G861">
        <v>1</v>
      </c>
      <c r="H861" t="str">
        <f>"00000001"</f>
        <v>00000001</v>
      </c>
      <c r="I861" t="s">
        <v>35</v>
      </c>
      <c r="J861"/>
      <c r="K861">
        <v>144.07</v>
      </c>
      <c r="L861">
        <v>0.0</v>
      </c>
      <c r="M861"/>
      <c r="N861"/>
      <c r="O861">
        <v>25.93</v>
      </c>
      <c r="P861">
        <v>0.0</v>
      </c>
      <c r="Q861">
        <v>170.0</v>
      </c>
      <c r="R861"/>
      <c r="S861"/>
      <c r="T861"/>
      <c r="U861"/>
      <c r="V861"/>
      <c r="W861">
        <v>18</v>
      </c>
    </row>
    <row r="862" spans="1:23">
      <c r="A862"/>
      <c r="B862" t="s">
        <v>108</v>
      </c>
      <c r="C862" t="s">
        <v>108</v>
      </c>
      <c r="D862" t="s">
        <v>33</v>
      </c>
      <c r="E862" t="s">
        <v>34</v>
      </c>
      <c r="F862" t="str">
        <f>"0014492"</f>
        <v>0014492</v>
      </c>
      <c r="G862">
        <v>1</v>
      </c>
      <c r="H862" t="str">
        <f>"00000001"</f>
        <v>00000001</v>
      </c>
      <c r="I862" t="s">
        <v>35</v>
      </c>
      <c r="J862"/>
      <c r="K862">
        <v>2.12</v>
      </c>
      <c r="L862">
        <v>0.0</v>
      </c>
      <c r="M862"/>
      <c r="N862"/>
      <c r="O862">
        <v>0.38</v>
      </c>
      <c r="P862">
        <v>0.0</v>
      </c>
      <c r="Q862">
        <v>2.5</v>
      </c>
      <c r="R862"/>
      <c r="S862"/>
      <c r="T862"/>
      <c r="U862"/>
      <c r="V862"/>
      <c r="W862">
        <v>18</v>
      </c>
    </row>
    <row r="863" spans="1:23">
      <c r="A863"/>
      <c r="B863" t="s">
        <v>108</v>
      </c>
      <c r="C863" t="s">
        <v>108</v>
      </c>
      <c r="D863" t="s">
        <v>33</v>
      </c>
      <c r="E863" t="s">
        <v>34</v>
      </c>
      <c r="F863" t="str">
        <f>"0014493"</f>
        <v>0014493</v>
      </c>
      <c r="G863">
        <v>1</v>
      </c>
      <c r="H863" t="str">
        <f>"00000001"</f>
        <v>00000001</v>
      </c>
      <c r="I863" t="s">
        <v>35</v>
      </c>
      <c r="J863"/>
      <c r="K863">
        <v>44.07</v>
      </c>
      <c r="L863">
        <v>0.0</v>
      </c>
      <c r="M863"/>
      <c r="N863"/>
      <c r="O863">
        <v>7.93</v>
      </c>
      <c r="P863">
        <v>0.0</v>
      </c>
      <c r="Q863">
        <v>52.0</v>
      </c>
      <c r="R863"/>
      <c r="S863"/>
      <c r="T863"/>
      <c r="U863"/>
      <c r="V863"/>
      <c r="W863">
        <v>18</v>
      </c>
    </row>
    <row r="864" spans="1:23">
      <c r="A864"/>
      <c r="B864" t="s">
        <v>108</v>
      </c>
      <c r="C864" t="s">
        <v>108</v>
      </c>
      <c r="D864" t="s">
        <v>33</v>
      </c>
      <c r="E864" t="s">
        <v>34</v>
      </c>
      <c r="F864" t="str">
        <f>"0014494"</f>
        <v>0014494</v>
      </c>
      <c r="G864">
        <v>1</v>
      </c>
      <c r="H864" t="str">
        <f>"00000001"</f>
        <v>00000001</v>
      </c>
      <c r="I864" t="s">
        <v>35</v>
      </c>
      <c r="J864"/>
      <c r="K864">
        <v>21.19</v>
      </c>
      <c r="L864">
        <v>0.0</v>
      </c>
      <c r="M864"/>
      <c r="N864"/>
      <c r="O864">
        <v>3.81</v>
      </c>
      <c r="P864">
        <v>0.0</v>
      </c>
      <c r="Q864">
        <v>25.0</v>
      </c>
      <c r="R864"/>
      <c r="S864"/>
      <c r="T864"/>
      <c r="U864"/>
      <c r="V864"/>
      <c r="W864">
        <v>18</v>
      </c>
    </row>
    <row r="865" spans="1:23">
      <c r="A865"/>
      <c r="B865" t="s">
        <v>108</v>
      </c>
      <c r="C865" t="s">
        <v>108</v>
      </c>
      <c r="D865" t="s">
        <v>33</v>
      </c>
      <c r="E865" t="s">
        <v>34</v>
      </c>
      <c r="F865" t="str">
        <f>"0014495"</f>
        <v>0014495</v>
      </c>
      <c r="G865">
        <v>1</v>
      </c>
      <c r="H865" t="str">
        <f>"00000001"</f>
        <v>00000001</v>
      </c>
      <c r="I865" t="s">
        <v>35</v>
      </c>
      <c r="J865"/>
      <c r="K865">
        <v>2.97</v>
      </c>
      <c r="L865">
        <v>0.0</v>
      </c>
      <c r="M865"/>
      <c r="N865"/>
      <c r="O865">
        <v>0.53</v>
      </c>
      <c r="P865">
        <v>0.0</v>
      </c>
      <c r="Q865">
        <v>3.5</v>
      </c>
      <c r="R865"/>
      <c r="S865"/>
      <c r="T865"/>
      <c r="U865"/>
      <c r="V865"/>
      <c r="W865">
        <v>18</v>
      </c>
    </row>
    <row r="866" spans="1:23">
      <c r="A866"/>
      <c r="B866" t="s">
        <v>108</v>
      </c>
      <c r="C866" t="s">
        <v>108</v>
      </c>
      <c r="D866" t="s">
        <v>33</v>
      </c>
      <c r="E866" t="s">
        <v>34</v>
      </c>
      <c r="F866" t="str">
        <f>"0014496"</f>
        <v>0014496</v>
      </c>
      <c r="G866">
        <v>1</v>
      </c>
      <c r="H866" t="str">
        <f>"00000001"</f>
        <v>00000001</v>
      </c>
      <c r="I866" t="s">
        <v>35</v>
      </c>
      <c r="J866"/>
      <c r="K866">
        <v>13.56</v>
      </c>
      <c r="L866">
        <v>0.0</v>
      </c>
      <c r="M866"/>
      <c r="N866"/>
      <c r="O866">
        <v>2.44</v>
      </c>
      <c r="P866">
        <v>0.0</v>
      </c>
      <c r="Q866">
        <v>16.0</v>
      </c>
      <c r="R866"/>
      <c r="S866"/>
      <c r="T866"/>
      <c r="U866"/>
      <c r="V866"/>
      <c r="W866">
        <v>18</v>
      </c>
    </row>
    <row r="867" spans="1:23">
      <c r="A867"/>
      <c r="B867" t="s">
        <v>108</v>
      </c>
      <c r="C867" t="s">
        <v>108</v>
      </c>
      <c r="D867" t="s">
        <v>33</v>
      </c>
      <c r="E867" t="s">
        <v>34</v>
      </c>
      <c r="F867" t="str">
        <f>"0014497"</f>
        <v>0014497</v>
      </c>
      <c r="G867">
        <v>1</v>
      </c>
      <c r="H867" t="str">
        <f>"00000001"</f>
        <v>00000001</v>
      </c>
      <c r="I867" t="s">
        <v>35</v>
      </c>
      <c r="J867"/>
      <c r="K867">
        <v>18.64</v>
      </c>
      <c r="L867">
        <v>0.0</v>
      </c>
      <c r="M867"/>
      <c r="N867"/>
      <c r="O867">
        <v>3.36</v>
      </c>
      <c r="P867">
        <v>0.0</v>
      </c>
      <c r="Q867">
        <v>22.0</v>
      </c>
      <c r="R867"/>
      <c r="S867"/>
      <c r="T867"/>
      <c r="U867"/>
      <c r="V867"/>
      <c r="W867">
        <v>18</v>
      </c>
    </row>
    <row r="868" spans="1:23">
      <c r="A868"/>
      <c r="B868" t="s">
        <v>108</v>
      </c>
      <c r="C868" t="s">
        <v>108</v>
      </c>
      <c r="D868" t="s">
        <v>33</v>
      </c>
      <c r="E868" t="s">
        <v>34</v>
      </c>
      <c r="F868" t="str">
        <f>"0014498"</f>
        <v>0014498</v>
      </c>
      <c r="G868">
        <v>1</v>
      </c>
      <c r="H868" t="str">
        <f>"00000001"</f>
        <v>00000001</v>
      </c>
      <c r="I868" t="s">
        <v>35</v>
      </c>
      <c r="J868"/>
      <c r="K868">
        <v>12.71</v>
      </c>
      <c r="L868">
        <v>0.0</v>
      </c>
      <c r="M868"/>
      <c r="N868"/>
      <c r="O868">
        <v>2.29</v>
      </c>
      <c r="P868">
        <v>0.0</v>
      </c>
      <c r="Q868">
        <v>15.0</v>
      </c>
      <c r="R868"/>
      <c r="S868"/>
      <c r="T868"/>
      <c r="U868"/>
      <c r="V868"/>
      <c r="W868">
        <v>18</v>
      </c>
    </row>
    <row r="869" spans="1:23">
      <c r="A869"/>
      <c r="B869" t="s">
        <v>108</v>
      </c>
      <c r="C869" t="s">
        <v>108</v>
      </c>
      <c r="D869" t="s">
        <v>33</v>
      </c>
      <c r="E869" t="s">
        <v>34</v>
      </c>
      <c r="F869" t="str">
        <f>"0014499"</f>
        <v>0014499</v>
      </c>
      <c r="G869">
        <v>1</v>
      </c>
      <c r="H869" t="str">
        <f>"00000001"</f>
        <v>00000001</v>
      </c>
      <c r="I869" t="s">
        <v>35</v>
      </c>
      <c r="J869"/>
      <c r="K869">
        <v>5.08</v>
      </c>
      <c r="L869">
        <v>0.0</v>
      </c>
      <c r="M869"/>
      <c r="N869"/>
      <c r="O869">
        <v>0.92</v>
      </c>
      <c r="P869">
        <v>0.0</v>
      </c>
      <c r="Q869">
        <v>6.0</v>
      </c>
      <c r="R869"/>
      <c r="S869"/>
      <c r="T869"/>
      <c r="U869"/>
      <c r="V869"/>
      <c r="W869">
        <v>18</v>
      </c>
    </row>
    <row r="870" spans="1:23">
      <c r="A870"/>
      <c r="B870" t="s">
        <v>108</v>
      </c>
      <c r="C870" t="s">
        <v>108</v>
      </c>
      <c r="D870" t="s">
        <v>33</v>
      </c>
      <c r="E870" t="s">
        <v>34</v>
      </c>
      <c r="F870" t="str">
        <f>"0014500"</f>
        <v>0014500</v>
      </c>
      <c r="G870">
        <v>1</v>
      </c>
      <c r="H870" t="str">
        <f>"00000001"</f>
        <v>00000001</v>
      </c>
      <c r="I870" t="s">
        <v>35</v>
      </c>
      <c r="J870"/>
      <c r="K870">
        <v>8.47</v>
      </c>
      <c r="L870">
        <v>0.0</v>
      </c>
      <c r="M870"/>
      <c r="N870"/>
      <c r="O870">
        <v>1.53</v>
      </c>
      <c r="P870">
        <v>0.0</v>
      </c>
      <c r="Q870">
        <v>10.0</v>
      </c>
      <c r="R870"/>
      <c r="S870"/>
      <c r="T870"/>
      <c r="U870"/>
      <c r="V870"/>
      <c r="W870">
        <v>18</v>
      </c>
    </row>
    <row r="871" spans="1:23">
      <c r="A871"/>
      <c r="B871" t="s">
        <v>108</v>
      </c>
      <c r="C871" t="s">
        <v>108</v>
      </c>
      <c r="D871" t="s">
        <v>33</v>
      </c>
      <c r="E871" t="s">
        <v>34</v>
      </c>
      <c r="F871" t="str">
        <f>"0014501"</f>
        <v>0014501</v>
      </c>
      <c r="G871">
        <v>1</v>
      </c>
      <c r="H871" t="str">
        <f>"00000001"</f>
        <v>00000001</v>
      </c>
      <c r="I871" t="s">
        <v>35</v>
      </c>
      <c r="J871"/>
      <c r="K871">
        <v>5.08</v>
      </c>
      <c r="L871">
        <v>0.0</v>
      </c>
      <c r="M871"/>
      <c r="N871"/>
      <c r="O871">
        <v>0.92</v>
      </c>
      <c r="P871">
        <v>0.0</v>
      </c>
      <c r="Q871">
        <v>6.0</v>
      </c>
      <c r="R871"/>
      <c r="S871"/>
      <c r="T871"/>
      <c r="U871"/>
      <c r="V871"/>
      <c r="W871">
        <v>18</v>
      </c>
    </row>
    <row r="872" spans="1:23">
      <c r="A872"/>
      <c r="B872" t="s">
        <v>108</v>
      </c>
      <c r="C872" t="s">
        <v>108</v>
      </c>
      <c r="D872" t="s">
        <v>33</v>
      </c>
      <c r="E872" t="s">
        <v>34</v>
      </c>
      <c r="F872" t="str">
        <f>"0014502"</f>
        <v>0014502</v>
      </c>
      <c r="G872">
        <v>1</v>
      </c>
      <c r="H872" t="str">
        <f>"00000001"</f>
        <v>00000001</v>
      </c>
      <c r="I872" t="s">
        <v>35</v>
      </c>
      <c r="J872"/>
      <c r="K872">
        <v>172.03</v>
      </c>
      <c r="L872">
        <v>0.0</v>
      </c>
      <c r="M872"/>
      <c r="N872"/>
      <c r="O872">
        <v>30.97</v>
      </c>
      <c r="P872">
        <v>0.0</v>
      </c>
      <c r="Q872">
        <v>203.0</v>
      </c>
      <c r="R872"/>
      <c r="S872"/>
      <c r="T872"/>
      <c r="U872"/>
      <c r="V872"/>
      <c r="W872">
        <v>18</v>
      </c>
    </row>
    <row r="873" spans="1:23">
      <c r="A873"/>
      <c r="B873" t="s">
        <v>108</v>
      </c>
      <c r="C873" t="s">
        <v>108</v>
      </c>
      <c r="D873" t="s">
        <v>33</v>
      </c>
      <c r="E873" t="s">
        <v>34</v>
      </c>
      <c r="F873" t="str">
        <f>"0014503"</f>
        <v>0014503</v>
      </c>
      <c r="G873">
        <v>1</v>
      </c>
      <c r="H873" t="str">
        <f>"00000001"</f>
        <v>00000001</v>
      </c>
      <c r="I873" t="s">
        <v>35</v>
      </c>
      <c r="J873"/>
      <c r="K873">
        <v>23.31</v>
      </c>
      <c r="L873">
        <v>0.0</v>
      </c>
      <c r="M873"/>
      <c r="N873"/>
      <c r="O873">
        <v>4.19</v>
      </c>
      <c r="P873">
        <v>0.0</v>
      </c>
      <c r="Q873">
        <v>27.5</v>
      </c>
      <c r="R873"/>
      <c r="S873"/>
      <c r="T873"/>
      <c r="U873"/>
      <c r="V873"/>
      <c r="W873">
        <v>18</v>
      </c>
    </row>
    <row r="874" spans="1:23">
      <c r="A874"/>
      <c r="B874" t="s">
        <v>108</v>
      </c>
      <c r="C874" t="s">
        <v>108</v>
      </c>
      <c r="D874" t="s">
        <v>33</v>
      </c>
      <c r="E874" t="s">
        <v>34</v>
      </c>
      <c r="F874" t="str">
        <f>"0014504"</f>
        <v>0014504</v>
      </c>
      <c r="G874">
        <v>1</v>
      </c>
      <c r="H874" t="str">
        <f>"00000001"</f>
        <v>00000001</v>
      </c>
      <c r="I874" t="s">
        <v>35</v>
      </c>
      <c r="J874"/>
      <c r="K874">
        <v>5.51</v>
      </c>
      <c r="L874">
        <v>0.0</v>
      </c>
      <c r="M874"/>
      <c r="N874"/>
      <c r="O874">
        <v>0.99</v>
      </c>
      <c r="P874">
        <v>0.0</v>
      </c>
      <c r="Q874">
        <v>6.5</v>
      </c>
      <c r="R874"/>
      <c r="S874"/>
      <c r="T874"/>
      <c r="U874"/>
      <c r="V874"/>
      <c r="W874">
        <v>18</v>
      </c>
    </row>
    <row r="875" spans="1:23">
      <c r="A875"/>
      <c r="B875" t="s">
        <v>108</v>
      </c>
      <c r="C875" t="s">
        <v>108</v>
      </c>
      <c r="D875" t="s">
        <v>33</v>
      </c>
      <c r="E875" t="s">
        <v>34</v>
      </c>
      <c r="F875" t="str">
        <f>"0014505"</f>
        <v>0014505</v>
      </c>
      <c r="G875">
        <v>1</v>
      </c>
      <c r="H875" t="str">
        <f>"00000001"</f>
        <v>00000001</v>
      </c>
      <c r="I875" t="s">
        <v>35</v>
      </c>
      <c r="J875"/>
      <c r="K875">
        <v>16.95</v>
      </c>
      <c r="L875">
        <v>0.0</v>
      </c>
      <c r="M875"/>
      <c r="N875"/>
      <c r="O875">
        <v>3.05</v>
      </c>
      <c r="P875">
        <v>0.0</v>
      </c>
      <c r="Q875">
        <v>20.0</v>
      </c>
      <c r="R875"/>
      <c r="S875"/>
      <c r="T875"/>
      <c r="U875"/>
      <c r="V875"/>
      <c r="W875">
        <v>18</v>
      </c>
    </row>
    <row r="876" spans="1:23">
      <c r="A876"/>
      <c r="B876" t="s">
        <v>108</v>
      </c>
      <c r="C876" t="s">
        <v>108</v>
      </c>
      <c r="D876" t="s">
        <v>33</v>
      </c>
      <c r="E876" t="s">
        <v>34</v>
      </c>
      <c r="F876" t="str">
        <f>"0014506"</f>
        <v>0014506</v>
      </c>
      <c r="G876">
        <v>1</v>
      </c>
      <c r="H876" t="str">
        <f>"00000001"</f>
        <v>00000001</v>
      </c>
      <c r="I876" t="s">
        <v>35</v>
      </c>
      <c r="J876"/>
      <c r="K876">
        <v>1.69</v>
      </c>
      <c r="L876">
        <v>0.0</v>
      </c>
      <c r="M876"/>
      <c r="N876"/>
      <c r="O876">
        <v>0.31</v>
      </c>
      <c r="P876">
        <v>0.0</v>
      </c>
      <c r="Q876">
        <v>2.0</v>
      </c>
      <c r="R876"/>
      <c r="S876"/>
      <c r="T876"/>
      <c r="U876"/>
      <c r="V876"/>
      <c r="W876">
        <v>18</v>
      </c>
    </row>
    <row r="877" spans="1:23">
      <c r="A877"/>
      <c r="B877" t="s">
        <v>108</v>
      </c>
      <c r="C877" t="s">
        <v>108</v>
      </c>
      <c r="D877" t="s">
        <v>33</v>
      </c>
      <c r="E877" t="s">
        <v>34</v>
      </c>
      <c r="F877" t="str">
        <f>"0014507"</f>
        <v>0014507</v>
      </c>
      <c r="G877">
        <v>1</v>
      </c>
      <c r="H877" t="str">
        <f>"00000001"</f>
        <v>00000001</v>
      </c>
      <c r="I877" t="s">
        <v>35</v>
      </c>
      <c r="J877"/>
      <c r="K877">
        <v>5.08</v>
      </c>
      <c r="L877">
        <v>0.0</v>
      </c>
      <c r="M877"/>
      <c r="N877"/>
      <c r="O877">
        <v>0.92</v>
      </c>
      <c r="P877">
        <v>0.0</v>
      </c>
      <c r="Q877">
        <v>6.0</v>
      </c>
      <c r="R877"/>
      <c r="S877"/>
      <c r="T877"/>
      <c r="U877"/>
      <c r="V877"/>
      <c r="W877">
        <v>18</v>
      </c>
    </row>
    <row r="878" spans="1:23">
      <c r="A878"/>
      <c r="B878" t="s">
        <v>108</v>
      </c>
      <c r="C878" t="s">
        <v>108</v>
      </c>
      <c r="D878" t="s">
        <v>33</v>
      </c>
      <c r="E878" t="s">
        <v>34</v>
      </c>
      <c r="F878" t="str">
        <f>"0014508"</f>
        <v>0014508</v>
      </c>
      <c r="G878">
        <v>1</v>
      </c>
      <c r="H878" t="str">
        <f>"00000001"</f>
        <v>00000001</v>
      </c>
      <c r="I878" t="s">
        <v>35</v>
      </c>
      <c r="J878"/>
      <c r="K878">
        <v>13.56</v>
      </c>
      <c r="L878">
        <v>0.0</v>
      </c>
      <c r="M878"/>
      <c r="N878"/>
      <c r="O878">
        <v>2.44</v>
      </c>
      <c r="P878">
        <v>0.0</v>
      </c>
      <c r="Q878">
        <v>16.0</v>
      </c>
      <c r="R878"/>
      <c r="S878"/>
      <c r="T878"/>
      <c r="U878"/>
      <c r="V878"/>
      <c r="W878">
        <v>18</v>
      </c>
    </row>
    <row r="879" spans="1:23">
      <c r="A879"/>
      <c r="B879" t="s">
        <v>108</v>
      </c>
      <c r="C879" t="s">
        <v>108</v>
      </c>
      <c r="D879" t="s">
        <v>33</v>
      </c>
      <c r="E879" t="s">
        <v>34</v>
      </c>
      <c r="F879" t="str">
        <f>"0014509"</f>
        <v>0014509</v>
      </c>
      <c r="G879">
        <v>1</v>
      </c>
      <c r="H879" t="str">
        <f>"00000001"</f>
        <v>00000001</v>
      </c>
      <c r="I879" t="s">
        <v>35</v>
      </c>
      <c r="J879"/>
      <c r="K879">
        <v>5.93</v>
      </c>
      <c r="L879">
        <v>0.0</v>
      </c>
      <c r="M879"/>
      <c r="N879"/>
      <c r="O879">
        <v>1.07</v>
      </c>
      <c r="P879">
        <v>0.0</v>
      </c>
      <c r="Q879">
        <v>7.0</v>
      </c>
      <c r="R879"/>
      <c r="S879"/>
      <c r="T879"/>
      <c r="U879"/>
      <c r="V879"/>
      <c r="W879">
        <v>18</v>
      </c>
    </row>
    <row r="880" spans="1:23">
      <c r="A880"/>
      <c r="B880" t="s">
        <v>108</v>
      </c>
      <c r="C880" t="s">
        <v>108</v>
      </c>
      <c r="D880" t="s">
        <v>33</v>
      </c>
      <c r="E880" t="s">
        <v>34</v>
      </c>
      <c r="F880" t="str">
        <f>"0014510"</f>
        <v>0014510</v>
      </c>
      <c r="G880">
        <v>1</v>
      </c>
      <c r="H880" t="str">
        <f>"00000001"</f>
        <v>00000001</v>
      </c>
      <c r="I880" t="s">
        <v>35</v>
      </c>
      <c r="J880"/>
      <c r="K880">
        <v>5.08</v>
      </c>
      <c r="L880">
        <v>0.0</v>
      </c>
      <c r="M880"/>
      <c r="N880"/>
      <c r="O880">
        <v>0.92</v>
      </c>
      <c r="P880">
        <v>0.0</v>
      </c>
      <c r="Q880">
        <v>6.0</v>
      </c>
      <c r="R880"/>
      <c r="S880"/>
      <c r="T880"/>
      <c r="U880"/>
      <c r="V880"/>
      <c r="W880">
        <v>18</v>
      </c>
    </row>
    <row r="881" spans="1:23">
      <c r="A881"/>
      <c r="B881" t="s">
        <v>108</v>
      </c>
      <c r="C881" t="s">
        <v>108</v>
      </c>
      <c r="D881" t="s">
        <v>33</v>
      </c>
      <c r="E881" t="s">
        <v>34</v>
      </c>
      <c r="F881" t="str">
        <f>"0014511"</f>
        <v>0014511</v>
      </c>
      <c r="G881">
        <v>1</v>
      </c>
      <c r="H881" t="str">
        <f>"00000001"</f>
        <v>00000001</v>
      </c>
      <c r="I881" t="s">
        <v>35</v>
      </c>
      <c r="J881"/>
      <c r="K881">
        <v>66.1</v>
      </c>
      <c r="L881">
        <v>0.0</v>
      </c>
      <c r="M881"/>
      <c r="N881"/>
      <c r="O881">
        <v>11.9</v>
      </c>
      <c r="P881">
        <v>0.0</v>
      </c>
      <c r="Q881">
        <v>78.0</v>
      </c>
      <c r="R881"/>
      <c r="S881"/>
      <c r="T881"/>
      <c r="U881"/>
      <c r="V881"/>
      <c r="W881">
        <v>18</v>
      </c>
    </row>
    <row r="882" spans="1:23">
      <c r="A882"/>
      <c r="B882" t="s">
        <v>108</v>
      </c>
      <c r="C882" t="s">
        <v>108</v>
      </c>
      <c r="D882" t="s">
        <v>33</v>
      </c>
      <c r="E882" t="s">
        <v>34</v>
      </c>
      <c r="F882" t="str">
        <f>"0014512"</f>
        <v>0014512</v>
      </c>
      <c r="G882">
        <v>1</v>
      </c>
      <c r="H882" t="str">
        <f>"00000001"</f>
        <v>00000001</v>
      </c>
      <c r="I882" t="s">
        <v>35</v>
      </c>
      <c r="J882"/>
      <c r="K882">
        <v>16.1</v>
      </c>
      <c r="L882">
        <v>0.0</v>
      </c>
      <c r="M882"/>
      <c r="N882"/>
      <c r="O882">
        <v>2.9</v>
      </c>
      <c r="P882">
        <v>0.0</v>
      </c>
      <c r="Q882">
        <v>19.0</v>
      </c>
      <c r="R882"/>
      <c r="S882"/>
      <c r="T882"/>
      <c r="U882"/>
      <c r="V882"/>
      <c r="W882">
        <v>18</v>
      </c>
    </row>
    <row r="883" spans="1:23">
      <c r="A883"/>
      <c r="B883" t="s">
        <v>108</v>
      </c>
      <c r="C883" t="s">
        <v>108</v>
      </c>
      <c r="D883" t="s">
        <v>40</v>
      </c>
      <c r="E883" t="s">
        <v>41</v>
      </c>
      <c r="F883" t="str">
        <f>"0001284"</f>
        <v>0001284</v>
      </c>
      <c r="G883">
        <v>6</v>
      </c>
      <c r="H883" t="str">
        <f>"20602348157"</f>
        <v>20602348157</v>
      </c>
      <c r="I883" t="s">
        <v>109</v>
      </c>
      <c r="J883"/>
      <c r="K883">
        <v>37.71</v>
      </c>
      <c r="L883">
        <v>0.0</v>
      </c>
      <c r="M883"/>
      <c r="N883"/>
      <c r="O883">
        <v>6.79</v>
      </c>
      <c r="P883">
        <v>0.0</v>
      </c>
      <c r="Q883">
        <v>44.5</v>
      </c>
      <c r="R883"/>
      <c r="S883"/>
      <c r="T883"/>
      <c r="U883"/>
      <c r="V883"/>
      <c r="W883">
        <v>18</v>
      </c>
    </row>
    <row r="884" spans="1:23">
      <c r="A884"/>
      <c r="B884" t="s">
        <v>108</v>
      </c>
      <c r="C884" t="s">
        <v>108</v>
      </c>
      <c r="D884" t="s">
        <v>40</v>
      </c>
      <c r="E884" t="s">
        <v>41</v>
      </c>
      <c r="F884" t="str">
        <f>"0001285"</f>
        <v>0001285</v>
      </c>
      <c r="G884">
        <v>6</v>
      </c>
      <c r="H884" t="str">
        <f>"20613539116"</f>
        <v>20613539116</v>
      </c>
      <c r="I884" t="s">
        <v>54</v>
      </c>
      <c r="J884"/>
      <c r="K884">
        <v>12.29</v>
      </c>
      <c r="L884">
        <v>0.0</v>
      </c>
      <c r="M884"/>
      <c r="N884"/>
      <c r="O884">
        <v>2.21</v>
      </c>
      <c r="P884">
        <v>0.0</v>
      </c>
      <c r="Q884">
        <v>14.5</v>
      </c>
      <c r="R884"/>
      <c r="S884"/>
      <c r="T884"/>
      <c r="U884"/>
      <c r="V884"/>
      <c r="W884">
        <v>18</v>
      </c>
    </row>
    <row r="885" spans="1:23">
      <c r="A885"/>
      <c r="B885" t="s">
        <v>108</v>
      </c>
      <c r="C885" t="s">
        <v>108</v>
      </c>
      <c r="D885" t="s">
        <v>33</v>
      </c>
      <c r="E885" t="s">
        <v>34</v>
      </c>
      <c r="F885" t="str">
        <f>"0014513"</f>
        <v>0014513</v>
      </c>
      <c r="G885">
        <v>1</v>
      </c>
      <c r="H885" t="str">
        <f>"00000001"</f>
        <v>00000001</v>
      </c>
      <c r="I885" t="s">
        <v>35</v>
      </c>
      <c r="J885"/>
      <c r="K885">
        <v>10.59</v>
      </c>
      <c r="L885">
        <v>0.0</v>
      </c>
      <c r="M885"/>
      <c r="N885"/>
      <c r="O885">
        <v>1.91</v>
      </c>
      <c r="P885">
        <v>0.0</v>
      </c>
      <c r="Q885">
        <v>12.5</v>
      </c>
      <c r="R885"/>
      <c r="S885"/>
      <c r="T885"/>
      <c r="U885"/>
      <c r="V885"/>
      <c r="W885">
        <v>18</v>
      </c>
    </row>
    <row r="886" spans="1:23">
      <c r="A886"/>
      <c r="B886" t="s">
        <v>108</v>
      </c>
      <c r="C886" t="s">
        <v>108</v>
      </c>
      <c r="D886" t="s">
        <v>33</v>
      </c>
      <c r="E886" t="s">
        <v>34</v>
      </c>
      <c r="F886" t="str">
        <f>"0014514"</f>
        <v>0014514</v>
      </c>
      <c r="G886">
        <v>1</v>
      </c>
      <c r="H886" t="str">
        <f>"00000001"</f>
        <v>00000001</v>
      </c>
      <c r="I886" t="s">
        <v>35</v>
      </c>
      <c r="J886"/>
      <c r="K886">
        <v>8.47</v>
      </c>
      <c r="L886">
        <v>0.0</v>
      </c>
      <c r="M886"/>
      <c r="N886"/>
      <c r="O886">
        <v>1.53</v>
      </c>
      <c r="P886">
        <v>0.0</v>
      </c>
      <c r="Q886">
        <v>10.0</v>
      </c>
      <c r="R886"/>
      <c r="S886"/>
      <c r="T886"/>
      <c r="U886"/>
      <c r="V886"/>
      <c r="W886">
        <v>18</v>
      </c>
    </row>
    <row r="887" spans="1:23">
      <c r="A887"/>
      <c r="B887" t="s">
        <v>108</v>
      </c>
      <c r="C887" t="s">
        <v>108</v>
      </c>
      <c r="D887" t="s">
        <v>33</v>
      </c>
      <c r="E887" t="s">
        <v>34</v>
      </c>
      <c r="F887" t="str">
        <f>"0014515"</f>
        <v>0014515</v>
      </c>
      <c r="G887">
        <v>1</v>
      </c>
      <c r="H887" t="str">
        <f>"00000001"</f>
        <v>00000001</v>
      </c>
      <c r="I887" t="s">
        <v>35</v>
      </c>
      <c r="J887"/>
      <c r="K887">
        <v>3.81</v>
      </c>
      <c r="L887">
        <v>0.0</v>
      </c>
      <c r="M887"/>
      <c r="N887"/>
      <c r="O887">
        <v>0.69</v>
      </c>
      <c r="P887">
        <v>0.0</v>
      </c>
      <c r="Q887">
        <v>4.5</v>
      </c>
      <c r="R887"/>
      <c r="S887"/>
      <c r="T887"/>
      <c r="U887"/>
      <c r="V887"/>
      <c r="W887">
        <v>18</v>
      </c>
    </row>
    <row r="888" spans="1:23">
      <c r="A888"/>
      <c r="B888" t="s">
        <v>108</v>
      </c>
      <c r="C888" t="s">
        <v>108</v>
      </c>
      <c r="D888" t="s">
        <v>33</v>
      </c>
      <c r="E888" t="s">
        <v>34</v>
      </c>
      <c r="F888" t="str">
        <f>"0014516"</f>
        <v>0014516</v>
      </c>
      <c r="G888">
        <v>1</v>
      </c>
      <c r="H888" t="str">
        <f>"00000001"</f>
        <v>00000001</v>
      </c>
      <c r="I888" t="s">
        <v>35</v>
      </c>
      <c r="J888"/>
      <c r="K888">
        <v>27.12</v>
      </c>
      <c r="L888">
        <v>0.0</v>
      </c>
      <c r="M888"/>
      <c r="N888"/>
      <c r="O888">
        <v>4.88</v>
      </c>
      <c r="P888">
        <v>0.0</v>
      </c>
      <c r="Q888">
        <v>32.0</v>
      </c>
      <c r="R888"/>
      <c r="S888"/>
      <c r="T888"/>
      <c r="U888"/>
      <c r="V888"/>
      <c r="W888">
        <v>18</v>
      </c>
    </row>
    <row r="889" spans="1:23">
      <c r="A889"/>
      <c r="B889" t="s">
        <v>108</v>
      </c>
      <c r="C889" t="s">
        <v>108</v>
      </c>
      <c r="D889" t="s">
        <v>33</v>
      </c>
      <c r="E889" t="s">
        <v>34</v>
      </c>
      <c r="F889" t="str">
        <f>"0014517"</f>
        <v>0014517</v>
      </c>
      <c r="G889">
        <v>1</v>
      </c>
      <c r="H889" t="str">
        <f>"00000001"</f>
        <v>00000001</v>
      </c>
      <c r="I889" t="s">
        <v>35</v>
      </c>
      <c r="J889"/>
      <c r="K889">
        <v>35.59</v>
      </c>
      <c r="L889">
        <v>0.0</v>
      </c>
      <c r="M889"/>
      <c r="N889"/>
      <c r="O889">
        <v>6.41</v>
      </c>
      <c r="P889">
        <v>0.0</v>
      </c>
      <c r="Q889">
        <v>42.0</v>
      </c>
      <c r="R889"/>
      <c r="S889"/>
      <c r="T889"/>
      <c r="U889"/>
      <c r="V889"/>
      <c r="W889">
        <v>18</v>
      </c>
    </row>
    <row r="890" spans="1:23">
      <c r="A890"/>
      <c r="B890" t="s">
        <v>108</v>
      </c>
      <c r="C890" t="s">
        <v>108</v>
      </c>
      <c r="D890" t="s">
        <v>33</v>
      </c>
      <c r="E890" t="s">
        <v>34</v>
      </c>
      <c r="F890" t="str">
        <f>"0014518"</f>
        <v>0014518</v>
      </c>
      <c r="G890">
        <v>1</v>
      </c>
      <c r="H890" t="str">
        <f>"00000001"</f>
        <v>00000001</v>
      </c>
      <c r="I890" t="s">
        <v>35</v>
      </c>
      <c r="J890"/>
      <c r="K890">
        <v>5.93</v>
      </c>
      <c r="L890">
        <v>0.0</v>
      </c>
      <c r="M890"/>
      <c r="N890"/>
      <c r="O890">
        <v>1.07</v>
      </c>
      <c r="P890">
        <v>0.0</v>
      </c>
      <c r="Q890">
        <v>7.0</v>
      </c>
      <c r="R890"/>
      <c r="S890"/>
      <c r="T890"/>
      <c r="U890"/>
      <c r="V890"/>
      <c r="W890">
        <v>18</v>
      </c>
    </row>
    <row r="891" spans="1:23">
      <c r="A891"/>
      <c r="B891" t="s">
        <v>108</v>
      </c>
      <c r="C891" t="s">
        <v>108</v>
      </c>
      <c r="D891" t="s">
        <v>33</v>
      </c>
      <c r="E891" t="s">
        <v>34</v>
      </c>
      <c r="F891" t="str">
        <f>"0014519"</f>
        <v>0014519</v>
      </c>
      <c r="G891">
        <v>1</v>
      </c>
      <c r="H891" t="str">
        <f>"00000001"</f>
        <v>00000001</v>
      </c>
      <c r="I891" t="s">
        <v>35</v>
      </c>
      <c r="J891"/>
      <c r="K891">
        <v>25.0</v>
      </c>
      <c r="L891">
        <v>0.0</v>
      </c>
      <c r="M891"/>
      <c r="N891"/>
      <c r="O891">
        <v>4.5</v>
      </c>
      <c r="P891">
        <v>0.0</v>
      </c>
      <c r="Q891">
        <v>29.5</v>
      </c>
      <c r="R891"/>
      <c r="S891"/>
      <c r="T891"/>
      <c r="U891"/>
      <c r="V891"/>
      <c r="W891">
        <v>18</v>
      </c>
    </row>
    <row r="892" spans="1:23">
      <c r="A892"/>
      <c r="B892" t="s">
        <v>108</v>
      </c>
      <c r="C892" t="s">
        <v>108</v>
      </c>
      <c r="D892" t="s">
        <v>33</v>
      </c>
      <c r="E892" t="s">
        <v>34</v>
      </c>
      <c r="F892" t="str">
        <f>"0014520"</f>
        <v>0014520</v>
      </c>
      <c r="G892">
        <v>1</v>
      </c>
      <c r="H892" t="str">
        <f>"00000001"</f>
        <v>00000001</v>
      </c>
      <c r="I892" t="s">
        <v>35</v>
      </c>
      <c r="J892"/>
      <c r="K892">
        <v>7.63</v>
      </c>
      <c r="L892">
        <v>0.0</v>
      </c>
      <c r="M892"/>
      <c r="N892"/>
      <c r="O892">
        <v>1.37</v>
      </c>
      <c r="P892">
        <v>0.0</v>
      </c>
      <c r="Q892">
        <v>9.0</v>
      </c>
      <c r="R892"/>
      <c r="S892"/>
      <c r="T892"/>
      <c r="U892"/>
      <c r="V892"/>
      <c r="W892">
        <v>18</v>
      </c>
    </row>
    <row r="893" spans="1:23">
      <c r="A893"/>
      <c r="B893" t="s">
        <v>108</v>
      </c>
      <c r="C893" t="s">
        <v>108</v>
      </c>
      <c r="D893" t="s">
        <v>33</v>
      </c>
      <c r="E893" t="s">
        <v>34</v>
      </c>
      <c r="F893" t="str">
        <f>"0014521"</f>
        <v>0014521</v>
      </c>
      <c r="G893">
        <v>1</v>
      </c>
      <c r="H893" t="str">
        <f>"00000001"</f>
        <v>00000001</v>
      </c>
      <c r="I893" t="s">
        <v>35</v>
      </c>
      <c r="J893"/>
      <c r="K893">
        <v>8.47</v>
      </c>
      <c r="L893">
        <v>0.0</v>
      </c>
      <c r="M893"/>
      <c r="N893"/>
      <c r="O893">
        <v>1.53</v>
      </c>
      <c r="P893">
        <v>0.0</v>
      </c>
      <c r="Q893">
        <v>10.0</v>
      </c>
      <c r="R893"/>
      <c r="S893"/>
      <c r="T893"/>
      <c r="U893"/>
      <c r="V893"/>
      <c r="W893">
        <v>18</v>
      </c>
    </row>
    <row r="894" spans="1:23">
      <c r="A894"/>
      <c r="B894" t="s">
        <v>108</v>
      </c>
      <c r="C894" t="s">
        <v>108</v>
      </c>
      <c r="D894" t="s">
        <v>33</v>
      </c>
      <c r="E894" t="s">
        <v>34</v>
      </c>
      <c r="F894" t="str">
        <f>"0014522"</f>
        <v>0014522</v>
      </c>
      <c r="G894">
        <v>1</v>
      </c>
      <c r="H894" t="str">
        <f>"00000001"</f>
        <v>00000001</v>
      </c>
      <c r="I894" t="s">
        <v>35</v>
      </c>
      <c r="J894"/>
      <c r="K894">
        <v>16.95</v>
      </c>
      <c r="L894">
        <v>0.0</v>
      </c>
      <c r="M894"/>
      <c r="N894"/>
      <c r="O894">
        <v>3.05</v>
      </c>
      <c r="P894">
        <v>0.0</v>
      </c>
      <c r="Q894">
        <v>20.0</v>
      </c>
      <c r="R894"/>
      <c r="S894"/>
      <c r="T894"/>
      <c r="U894"/>
      <c r="V894"/>
      <c r="W894">
        <v>18</v>
      </c>
    </row>
    <row r="895" spans="1:23">
      <c r="A895"/>
      <c r="B895" t="s">
        <v>108</v>
      </c>
      <c r="C895" t="s">
        <v>108</v>
      </c>
      <c r="D895" t="s">
        <v>40</v>
      </c>
      <c r="E895" t="s">
        <v>41</v>
      </c>
      <c r="F895" t="str">
        <f>"0001286"</f>
        <v>0001286</v>
      </c>
      <c r="G895">
        <v>6</v>
      </c>
      <c r="H895" t="str">
        <f>"20602348157"</f>
        <v>20602348157</v>
      </c>
      <c r="I895" t="s">
        <v>109</v>
      </c>
      <c r="J895"/>
      <c r="K895">
        <v>6.78</v>
      </c>
      <c r="L895">
        <v>0.0</v>
      </c>
      <c r="M895"/>
      <c r="N895"/>
      <c r="O895">
        <v>1.22</v>
      </c>
      <c r="P895">
        <v>0.0</v>
      </c>
      <c r="Q895">
        <v>8.0</v>
      </c>
      <c r="R895"/>
      <c r="S895"/>
      <c r="T895"/>
      <c r="U895"/>
      <c r="V895"/>
      <c r="W895">
        <v>18</v>
      </c>
    </row>
    <row r="896" spans="1:23">
      <c r="A896"/>
      <c r="B896" t="s">
        <v>108</v>
      </c>
      <c r="C896" t="s">
        <v>108</v>
      </c>
      <c r="D896" t="s">
        <v>33</v>
      </c>
      <c r="E896" t="s">
        <v>34</v>
      </c>
      <c r="F896" t="str">
        <f>"0014523"</f>
        <v>0014523</v>
      </c>
      <c r="G896">
        <v>1</v>
      </c>
      <c r="H896" t="str">
        <f>"00000001"</f>
        <v>00000001</v>
      </c>
      <c r="I896" t="s">
        <v>35</v>
      </c>
      <c r="J896"/>
      <c r="K896">
        <v>2.97</v>
      </c>
      <c r="L896">
        <v>0.0</v>
      </c>
      <c r="M896"/>
      <c r="N896"/>
      <c r="O896">
        <v>0.53</v>
      </c>
      <c r="P896">
        <v>0.0</v>
      </c>
      <c r="Q896">
        <v>3.5</v>
      </c>
      <c r="R896"/>
      <c r="S896"/>
      <c r="T896"/>
      <c r="U896"/>
      <c r="V896"/>
      <c r="W896">
        <v>18</v>
      </c>
    </row>
    <row r="897" spans="1:23">
      <c r="A897"/>
      <c r="B897" t="s">
        <v>108</v>
      </c>
      <c r="C897" t="s">
        <v>108</v>
      </c>
      <c r="D897" t="s">
        <v>33</v>
      </c>
      <c r="E897" t="s">
        <v>34</v>
      </c>
      <c r="F897" t="str">
        <f>"0014524"</f>
        <v>0014524</v>
      </c>
      <c r="G897">
        <v>1</v>
      </c>
      <c r="H897" t="str">
        <f>"00000001"</f>
        <v>00000001</v>
      </c>
      <c r="I897" t="s">
        <v>35</v>
      </c>
      <c r="J897"/>
      <c r="K897">
        <v>6.78</v>
      </c>
      <c r="L897">
        <v>0.0</v>
      </c>
      <c r="M897"/>
      <c r="N897"/>
      <c r="O897">
        <v>1.22</v>
      </c>
      <c r="P897">
        <v>0.0</v>
      </c>
      <c r="Q897">
        <v>8.0</v>
      </c>
      <c r="R897"/>
      <c r="S897"/>
      <c r="T897"/>
      <c r="U897"/>
      <c r="V897"/>
      <c r="W897">
        <v>18</v>
      </c>
    </row>
    <row r="898" spans="1:23">
      <c r="A898"/>
      <c r="B898" t="s">
        <v>108</v>
      </c>
      <c r="C898" t="s">
        <v>108</v>
      </c>
      <c r="D898" t="s">
        <v>33</v>
      </c>
      <c r="E898" t="s">
        <v>34</v>
      </c>
      <c r="F898" t="str">
        <f>"0014525"</f>
        <v>0014525</v>
      </c>
      <c r="G898">
        <v>1</v>
      </c>
      <c r="H898" t="str">
        <f>"00000001"</f>
        <v>00000001</v>
      </c>
      <c r="I898" t="s">
        <v>35</v>
      </c>
      <c r="J898"/>
      <c r="K898">
        <v>5.08</v>
      </c>
      <c r="L898">
        <v>0.0</v>
      </c>
      <c r="M898"/>
      <c r="N898"/>
      <c r="O898">
        <v>0.92</v>
      </c>
      <c r="P898">
        <v>0.0</v>
      </c>
      <c r="Q898">
        <v>6.0</v>
      </c>
      <c r="R898"/>
      <c r="S898"/>
      <c r="T898"/>
      <c r="U898"/>
      <c r="V898"/>
      <c r="W898">
        <v>18</v>
      </c>
    </row>
    <row r="899" spans="1:23">
      <c r="A899"/>
      <c r="B899" t="s">
        <v>108</v>
      </c>
      <c r="C899" t="s">
        <v>108</v>
      </c>
      <c r="D899" t="s">
        <v>33</v>
      </c>
      <c r="E899" t="s">
        <v>34</v>
      </c>
      <c r="F899" t="str">
        <f>"0014526"</f>
        <v>0014526</v>
      </c>
      <c r="G899">
        <v>1</v>
      </c>
      <c r="H899" t="str">
        <f>"00000001"</f>
        <v>00000001</v>
      </c>
      <c r="I899" t="s">
        <v>35</v>
      </c>
      <c r="J899"/>
      <c r="K899">
        <v>16.95</v>
      </c>
      <c r="L899">
        <v>0.0</v>
      </c>
      <c r="M899"/>
      <c r="N899"/>
      <c r="O899">
        <v>3.05</v>
      </c>
      <c r="P899">
        <v>0.0</v>
      </c>
      <c r="Q899">
        <v>20.0</v>
      </c>
      <c r="R899"/>
      <c r="S899"/>
      <c r="T899"/>
      <c r="U899"/>
      <c r="V899"/>
      <c r="W899">
        <v>18</v>
      </c>
    </row>
    <row r="900" spans="1:23">
      <c r="A900"/>
      <c r="B900" t="s">
        <v>108</v>
      </c>
      <c r="C900" t="s">
        <v>108</v>
      </c>
      <c r="D900" t="s">
        <v>33</v>
      </c>
      <c r="E900" t="s">
        <v>34</v>
      </c>
      <c r="F900" t="str">
        <f>"0014527"</f>
        <v>0014527</v>
      </c>
      <c r="G900">
        <v>1</v>
      </c>
      <c r="H900" t="str">
        <f>"00000001"</f>
        <v>00000001</v>
      </c>
      <c r="I900" t="s">
        <v>35</v>
      </c>
      <c r="J900"/>
      <c r="K900">
        <v>11.02</v>
      </c>
      <c r="L900">
        <v>0.0</v>
      </c>
      <c r="M900"/>
      <c r="N900"/>
      <c r="O900">
        <v>1.98</v>
      </c>
      <c r="P900">
        <v>0.0</v>
      </c>
      <c r="Q900">
        <v>13.0</v>
      </c>
      <c r="R900"/>
      <c r="S900"/>
      <c r="T900"/>
      <c r="U900"/>
      <c r="V900"/>
      <c r="W900">
        <v>18</v>
      </c>
    </row>
    <row r="901" spans="1:23">
      <c r="A901"/>
      <c r="B901" t="s">
        <v>108</v>
      </c>
      <c r="C901" t="s">
        <v>108</v>
      </c>
      <c r="D901" t="s">
        <v>33</v>
      </c>
      <c r="E901" t="s">
        <v>34</v>
      </c>
      <c r="F901" t="str">
        <f>"0014528"</f>
        <v>0014528</v>
      </c>
      <c r="G901">
        <v>1</v>
      </c>
      <c r="H901" t="str">
        <f>"00000001"</f>
        <v>00000001</v>
      </c>
      <c r="I901" t="s">
        <v>35</v>
      </c>
      <c r="J901"/>
      <c r="K901">
        <v>46.61</v>
      </c>
      <c r="L901">
        <v>0.0</v>
      </c>
      <c r="M901"/>
      <c r="N901"/>
      <c r="O901">
        <v>8.39</v>
      </c>
      <c r="P901">
        <v>0.0</v>
      </c>
      <c r="Q901">
        <v>55.0</v>
      </c>
      <c r="R901"/>
      <c r="S901"/>
      <c r="T901"/>
      <c r="U901"/>
      <c r="V901"/>
      <c r="W901">
        <v>18</v>
      </c>
    </row>
    <row r="902" spans="1:23">
      <c r="A902"/>
      <c r="B902" t="s">
        <v>108</v>
      </c>
      <c r="C902" t="s">
        <v>108</v>
      </c>
      <c r="D902" t="s">
        <v>33</v>
      </c>
      <c r="E902" t="s">
        <v>34</v>
      </c>
      <c r="F902" t="str">
        <f>"0014529"</f>
        <v>0014529</v>
      </c>
      <c r="G902">
        <v>1</v>
      </c>
      <c r="H902" t="str">
        <f>"00000001"</f>
        <v>00000001</v>
      </c>
      <c r="I902" t="s">
        <v>35</v>
      </c>
      <c r="J902"/>
      <c r="K902">
        <v>10.17</v>
      </c>
      <c r="L902">
        <v>0.0</v>
      </c>
      <c r="M902"/>
      <c r="N902"/>
      <c r="O902">
        <v>1.83</v>
      </c>
      <c r="P902">
        <v>0.0</v>
      </c>
      <c r="Q902">
        <v>12.0</v>
      </c>
      <c r="R902"/>
      <c r="S902"/>
      <c r="T902"/>
      <c r="U902"/>
      <c r="V902"/>
      <c r="W902">
        <v>18</v>
      </c>
    </row>
    <row r="903" spans="1:23">
      <c r="A903"/>
      <c r="B903" t="s">
        <v>108</v>
      </c>
      <c r="C903" t="s">
        <v>108</v>
      </c>
      <c r="D903" t="s">
        <v>33</v>
      </c>
      <c r="E903" t="s">
        <v>34</v>
      </c>
      <c r="F903" t="str">
        <f>"0014530"</f>
        <v>0014530</v>
      </c>
      <c r="G903">
        <v>1</v>
      </c>
      <c r="H903" t="str">
        <f>"00000001"</f>
        <v>00000001</v>
      </c>
      <c r="I903" t="s">
        <v>35</v>
      </c>
      <c r="J903"/>
      <c r="K903">
        <v>13.56</v>
      </c>
      <c r="L903">
        <v>0.0</v>
      </c>
      <c r="M903"/>
      <c r="N903"/>
      <c r="O903">
        <v>2.44</v>
      </c>
      <c r="P903">
        <v>0.0</v>
      </c>
      <c r="Q903">
        <v>16.0</v>
      </c>
      <c r="R903"/>
      <c r="S903"/>
      <c r="T903"/>
      <c r="U903"/>
      <c r="V903"/>
      <c r="W903">
        <v>18</v>
      </c>
    </row>
    <row r="904" spans="1:23">
      <c r="A904"/>
      <c r="B904" t="s">
        <v>108</v>
      </c>
      <c r="C904" t="s">
        <v>108</v>
      </c>
      <c r="D904" t="s">
        <v>33</v>
      </c>
      <c r="E904" t="s">
        <v>34</v>
      </c>
      <c r="F904" t="str">
        <f>"0014531"</f>
        <v>0014531</v>
      </c>
      <c r="G904">
        <v>1</v>
      </c>
      <c r="H904" t="str">
        <f>"00000001"</f>
        <v>00000001</v>
      </c>
      <c r="I904" t="s">
        <v>35</v>
      </c>
      <c r="J904"/>
      <c r="K904">
        <v>22.03</v>
      </c>
      <c r="L904">
        <v>0.0</v>
      </c>
      <c r="M904"/>
      <c r="N904"/>
      <c r="O904">
        <v>3.97</v>
      </c>
      <c r="P904">
        <v>0.0</v>
      </c>
      <c r="Q904">
        <v>26.0</v>
      </c>
      <c r="R904"/>
      <c r="S904"/>
      <c r="T904"/>
      <c r="U904"/>
      <c r="V904"/>
      <c r="W904">
        <v>18</v>
      </c>
    </row>
    <row r="905" spans="1:23">
      <c r="A905"/>
      <c r="B905" t="s">
        <v>108</v>
      </c>
      <c r="C905" t="s">
        <v>108</v>
      </c>
      <c r="D905" t="s">
        <v>33</v>
      </c>
      <c r="E905" t="s">
        <v>34</v>
      </c>
      <c r="F905" t="str">
        <f>"0014532"</f>
        <v>0014532</v>
      </c>
      <c r="G905">
        <v>1</v>
      </c>
      <c r="H905" t="str">
        <f>"00000001"</f>
        <v>00000001</v>
      </c>
      <c r="I905" t="s">
        <v>35</v>
      </c>
      <c r="J905"/>
      <c r="K905">
        <v>9.32</v>
      </c>
      <c r="L905">
        <v>0.0</v>
      </c>
      <c r="M905"/>
      <c r="N905"/>
      <c r="O905">
        <v>1.68</v>
      </c>
      <c r="P905">
        <v>0.0</v>
      </c>
      <c r="Q905">
        <v>11.0</v>
      </c>
      <c r="R905"/>
      <c r="S905"/>
      <c r="T905"/>
      <c r="U905"/>
      <c r="V905"/>
      <c r="W905">
        <v>18</v>
      </c>
    </row>
    <row r="906" spans="1:23">
      <c r="A906"/>
      <c r="B906" t="s">
        <v>108</v>
      </c>
      <c r="C906" t="s">
        <v>108</v>
      </c>
      <c r="D906" t="s">
        <v>33</v>
      </c>
      <c r="E906" t="s">
        <v>34</v>
      </c>
      <c r="F906" t="str">
        <f>"0014533"</f>
        <v>0014533</v>
      </c>
      <c r="G906">
        <v>1</v>
      </c>
      <c r="H906" t="str">
        <f>"00000001"</f>
        <v>00000001</v>
      </c>
      <c r="I906" t="s">
        <v>35</v>
      </c>
      <c r="J906"/>
      <c r="K906">
        <v>7.63</v>
      </c>
      <c r="L906">
        <v>0.0</v>
      </c>
      <c r="M906"/>
      <c r="N906"/>
      <c r="O906">
        <v>1.37</v>
      </c>
      <c r="P906">
        <v>0.0</v>
      </c>
      <c r="Q906">
        <v>9.0</v>
      </c>
      <c r="R906"/>
      <c r="S906"/>
      <c r="T906"/>
      <c r="U906"/>
      <c r="V906"/>
      <c r="W906">
        <v>18</v>
      </c>
    </row>
    <row r="907" spans="1:23">
      <c r="A907"/>
      <c r="B907" t="s">
        <v>108</v>
      </c>
      <c r="C907" t="s">
        <v>108</v>
      </c>
      <c r="D907" t="s">
        <v>33</v>
      </c>
      <c r="E907" t="s">
        <v>34</v>
      </c>
      <c r="F907" t="str">
        <f>"0014534"</f>
        <v>0014534</v>
      </c>
      <c r="G907">
        <v>1</v>
      </c>
      <c r="H907" t="str">
        <f>"00000001"</f>
        <v>00000001</v>
      </c>
      <c r="I907" t="s">
        <v>35</v>
      </c>
      <c r="J907"/>
      <c r="K907">
        <v>9.32</v>
      </c>
      <c r="L907">
        <v>0.0</v>
      </c>
      <c r="M907"/>
      <c r="N907"/>
      <c r="O907">
        <v>1.68</v>
      </c>
      <c r="P907">
        <v>0.0</v>
      </c>
      <c r="Q907">
        <v>11.0</v>
      </c>
      <c r="R907"/>
      <c r="S907"/>
      <c r="T907"/>
      <c r="U907"/>
      <c r="V907"/>
      <c r="W907">
        <v>18</v>
      </c>
    </row>
    <row r="908" spans="1:23">
      <c r="A908"/>
      <c r="B908" t="s">
        <v>108</v>
      </c>
      <c r="C908" t="s">
        <v>108</v>
      </c>
      <c r="D908" t="s">
        <v>33</v>
      </c>
      <c r="E908" t="s">
        <v>34</v>
      </c>
      <c r="F908" t="str">
        <f>"0014535"</f>
        <v>0014535</v>
      </c>
      <c r="G908">
        <v>1</v>
      </c>
      <c r="H908" t="str">
        <f>"00000001"</f>
        <v>00000001</v>
      </c>
      <c r="I908" t="s">
        <v>35</v>
      </c>
      <c r="J908"/>
      <c r="K908">
        <v>15.25</v>
      </c>
      <c r="L908">
        <v>0.0</v>
      </c>
      <c r="M908"/>
      <c r="N908"/>
      <c r="O908">
        <v>2.75</v>
      </c>
      <c r="P908">
        <v>0.0</v>
      </c>
      <c r="Q908">
        <v>18.0</v>
      </c>
      <c r="R908"/>
      <c r="S908"/>
      <c r="T908"/>
      <c r="U908"/>
      <c r="V908"/>
      <c r="W908">
        <v>18</v>
      </c>
    </row>
    <row r="909" spans="1:23">
      <c r="A909"/>
      <c r="B909" t="s">
        <v>108</v>
      </c>
      <c r="C909" t="s">
        <v>108</v>
      </c>
      <c r="D909" t="s">
        <v>33</v>
      </c>
      <c r="E909" t="s">
        <v>34</v>
      </c>
      <c r="F909" t="str">
        <f>"0014536"</f>
        <v>0014536</v>
      </c>
      <c r="G909">
        <v>1</v>
      </c>
      <c r="H909" t="str">
        <f>"00000001"</f>
        <v>00000001</v>
      </c>
      <c r="I909" t="s">
        <v>35</v>
      </c>
      <c r="J909"/>
      <c r="K909">
        <v>3.39</v>
      </c>
      <c r="L909">
        <v>0.0</v>
      </c>
      <c r="M909"/>
      <c r="N909"/>
      <c r="O909">
        <v>0.61</v>
      </c>
      <c r="P909">
        <v>0.0</v>
      </c>
      <c r="Q909">
        <v>4.0</v>
      </c>
      <c r="R909"/>
      <c r="S909"/>
      <c r="T909"/>
      <c r="U909"/>
      <c r="V909"/>
      <c r="W909">
        <v>18</v>
      </c>
    </row>
    <row r="910" spans="1:23">
      <c r="A910"/>
      <c r="B910" t="s">
        <v>108</v>
      </c>
      <c r="C910" t="s">
        <v>108</v>
      </c>
      <c r="D910" t="s">
        <v>33</v>
      </c>
      <c r="E910" t="s">
        <v>34</v>
      </c>
      <c r="F910" t="str">
        <f>"0014537"</f>
        <v>0014537</v>
      </c>
      <c r="G910">
        <v>1</v>
      </c>
      <c r="H910" t="str">
        <f>"00000001"</f>
        <v>00000001</v>
      </c>
      <c r="I910" t="s">
        <v>35</v>
      </c>
      <c r="J910"/>
      <c r="K910">
        <v>6.78</v>
      </c>
      <c r="L910">
        <v>0.0</v>
      </c>
      <c r="M910"/>
      <c r="N910"/>
      <c r="O910">
        <v>1.22</v>
      </c>
      <c r="P910">
        <v>0.0</v>
      </c>
      <c r="Q910">
        <v>8.0</v>
      </c>
      <c r="R910"/>
      <c r="S910"/>
      <c r="T910"/>
      <c r="U910"/>
      <c r="V910"/>
      <c r="W910">
        <v>18</v>
      </c>
    </row>
    <row r="911" spans="1:23">
      <c r="A911"/>
      <c r="B911" t="s">
        <v>110</v>
      </c>
      <c r="C911" t="s">
        <v>110</v>
      </c>
      <c r="D911" t="s">
        <v>33</v>
      </c>
      <c r="E911" t="s">
        <v>34</v>
      </c>
      <c r="F911" t="str">
        <f>"0014538"</f>
        <v>0014538</v>
      </c>
      <c r="G911">
        <v>1</v>
      </c>
      <c r="H911" t="str">
        <f>"00000001"</f>
        <v>00000001</v>
      </c>
      <c r="I911" t="s">
        <v>35</v>
      </c>
      <c r="J911"/>
      <c r="K911">
        <v>42.37</v>
      </c>
      <c r="L911">
        <v>0.0</v>
      </c>
      <c r="M911"/>
      <c r="N911"/>
      <c r="O911">
        <v>7.63</v>
      </c>
      <c r="P911">
        <v>0.0</v>
      </c>
      <c r="Q911">
        <v>50.0</v>
      </c>
      <c r="R911"/>
      <c r="S911"/>
      <c r="T911"/>
      <c r="U911"/>
      <c r="V911"/>
      <c r="W911">
        <v>18</v>
      </c>
    </row>
    <row r="912" spans="1:23">
      <c r="A912"/>
      <c r="B912" t="s">
        <v>110</v>
      </c>
      <c r="C912" t="s">
        <v>110</v>
      </c>
      <c r="D912" t="s">
        <v>33</v>
      </c>
      <c r="E912" t="s">
        <v>34</v>
      </c>
      <c r="F912" t="str">
        <f>"0014539"</f>
        <v>0014539</v>
      </c>
      <c r="G912">
        <v>1</v>
      </c>
      <c r="H912" t="str">
        <f>"00000001"</f>
        <v>00000001</v>
      </c>
      <c r="I912" t="s">
        <v>35</v>
      </c>
      <c r="J912"/>
      <c r="K912">
        <v>8.47</v>
      </c>
      <c r="L912">
        <v>0.0</v>
      </c>
      <c r="M912"/>
      <c r="N912"/>
      <c r="O912">
        <v>1.53</v>
      </c>
      <c r="P912">
        <v>0.0</v>
      </c>
      <c r="Q912">
        <v>10.0</v>
      </c>
      <c r="R912"/>
      <c r="S912"/>
      <c r="T912"/>
      <c r="U912"/>
      <c r="V912"/>
      <c r="W912">
        <v>18</v>
      </c>
    </row>
    <row r="913" spans="1:23">
      <c r="A913"/>
      <c r="B913" t="s">
        <v>110</v>
      </c>
      <c r="C913" t="s">
        <v>110</v>
      </c>
      <c r="D913" t="s">
        <v>33</v>
      </c>
      <c r="E913" t="s">
        <v>34</v>
      </c>
      <c r="F913" t="str">
        <f>"0014540"</f>
        <v>0014540</v>
      </c>
      <c r="G913">
        <v>1</v>
      </c>
      <c r="H913" t="str">
        <f>"00000001"</f>
        <v>00000001</v>
      </c>
      <c r="I913" t="s">
        <v>35</v>
      </c>
      <c r="J913"/>
      <c r="K913">
        <v>114.41</v>
      </c>
      <c r="L913">
        <v>0.0</v>
      </c>
      <c r="M913"/>
      <c r="N913"/>
      <c r="O913">
        <v>20.59</v>
      </c>
      <c r="P913">
        <v>0.0</v>
      </c>
      <c r="Q913">
        <v>135.0</v>
      </c>
      <c r="R913"/>
      <c r="S913"/>
      <c r="T913"/>
      <c r="U913"/>
      <c r="V913"/>
      <c r="W913">
        <v>18</v>
      </c>
    </row>
    <row r="914" spans="1:23">
      <c r="A914"/>
      <c r="B914" t="s">
        <v>110</v>
      </c>
      <c r="C914" t="s">
        <v>110</v>
      </c>
      <c r="D914" t="s">
        <v>33</v>
      </c>
      <c r="E914" t="s">
        <v>34</v>
      </c>
      <c r="F914" t="str">
        <f>"0014541"</f>
        <v>0014541</v>
      </c>
      <c r="G914">
        <v>1</v>
      </c>
      <c r="H914" t="str">
        <f>"00000001"</f>
        <v>00000001</v>
      </c>
      <c r="I914" t="s">
        <v>35</v>
      </c>
      <c r="J914"/>
      <c r="K914">
        <v>7.63</v>
      </c>
      <c r="L914">
        <v>0.0</v>
      </c>
      <c r="M914"/>
      <c r="N914"/>
      <c r="O914">
        <v>1.37</v>
      </c>
      <c r="P914">
        <v>0.0</v>
      </c>
      <c r="Q914">
        <v>9.0</v>
      </c>
      <c r="R914"/>
      <c r="S914"/>
      <c r="T914"/>
      <c r="U914"/>
      <c r="V914"/>
      <c r="W914">
        <v>18</v>
      </c>
    </row>
    <row r="915" spans="1:23">
      <c r="A915"/>
      <c r="B915" t="s">
        <v>110</v>
      </c>
      <c r="C915" t="s">
        <v>110</v>
      </c>
      <c r="D915" t="s">
        <v>33</v>
      </c>
      <c r="E915" t="s">
        <v>34</v>
      </c>
      <c r="F915" t="str">
        <f>"0014542"</f>
        <v>0014542</v>
      </c>
      <c r="G915">
        <v>1</v>
      </c>
      <c r="H915" t="str">
        <f>"00000001"</f>
        <v>00000001</v>
      </c>
      <c r="I915" t="s">
        <v>35</v>
      </c>
      <c r="J915"/>
      <c r="K915">
        <v>12.29</v>
      </c>
      <c r="L915">
        <v>0.0</v>
      </c>
      <c r="M915"/>
      <c r="N915"/>
      <c r="O915">
        <v>2.21</v>
      </c>
      <c r="P915">
        <v>0.0</v>
      </c>
      <c r="Q915">
        <v>14.5</v>
      </c>
      <c r="R915"/>
      <c r="S915"/>
      <c r="T915"/>
      <c r="U915"/>
      <c r="V915"/>
      <c r="W915">
        <v>18</v>
      </c>
    </row>
    <row r="916" spans="1:23">
      <c r="A916"/>
      <c r="B916" t="s">
        <v>110</v>
      </c>
      <c r="C916" t="s">
        <v>110</v>
      </c>
      <c r="D916" t="s">
        <v>33</v>
      </c>
      <c r="E916" t="s">
        <v>34</v>
      </c>
      <c r="F916" t="str">
        <f>"0014543"</f>
        <v>0014543</v>
      </c>
      <c r="G916">
        <v>1</v>
      </c>
      <c r="H916" t="str">
        <f>"00000001"</f>
        <v>00000001</v>
      </c>
      <c r="I916" t="s">
        <v>35</v>
      </c>
      <c r="J916"/>
      <c r="K916">
        <v>122.85</v>
      </c>
      <c r="L916">
        <v>0.0</v>
      </c>
      <c r="M916"/>
      <c r="N916"/>
      <c r="O916">
        <v>22.11</v>
      </c>
      <c r="P916">
        <v>0.0</v>
      </c>
      <c r="Q916">
        <v>144.96</v>
      </c>
      <c r="R916"/>
      <c r="S916"/>
      <c r="T916"/>
      <c r="U916"/>
      <c r="V916"/>
      <c r="W916">
        <v>18</v>
      </c>
    </row>
    <row r="917" spans="1:23">
      <c r="A917"/>
      <c r="B917" t="s">
        <v>110</v>
      </c>
      <c r="C917" t="s">
        <v>110</v>
      </c>
      <c r="D917" t="s">
        <v>33</v>
      </c>
      <c r="E917" t="s">
        <v>34</v>
      </c>
      <c r="F917" t="str">
        <f>"0014544"</f>
        <v>0014544</v>
      </c>
      <c r="G917">
        <v>1</v>
      </c>
      <c r="H917" t="str">
        <f>"00000001"</f>
        <v>00000001</v>
      </c>
      <c r="I917" t="s">
        <v>35</v>
      </c>
      <c r="J917"/>
      <c r="K917">
        <v>28.39</v>
      </c>
      <c r="L917">
        <v>0.0</v>
      </c>
      <c r="M917"/>
      <c r="N917"/>
      <c r="O917">
        <v>5.11</v>
      </c>
      <c r="P917">
        <v>0.0</v>
      </c>
      <c r="Q917">
        <v>33.5</v>
      </c>
      <c r="R917"/>
      <c r="S917"/>
      <c r="T917"/>
      <c r="U917"/>
      <c r="V917"/>
      <c r="W917">
        <v>18</v>
      </c>
    </row>
    <row r="918" spans="1:23">
      <c r="A918"/>
      <c r="B918" t="s">
        <v>110</v>
      </c>
      <c r="C918" t="s">
        <v>110</v>
      </c>
      <c r="D918" t="s">
        <v>33</v>
      </c>
      <c r="E918" t="s">
        <v>34</v>
      </c>
      <c r="F918" t="str">
        <f>"0014545"</f>
        <v>0014545</v>
      </c>
      <c r="G918">
        <v>1</v>
      </c>
      <c r="H918" t="str">
        <f>"00000001"</f>
        <v>00000001</v>
      </c>
      <c r="I918" t="s">
        <v>35</v>
      </c>
      <c r="J918"/>
      <c r="K918">
        <v>6.36</v>
      </c>
      <c r="L918">
        <v>0.0</v>
      </c>
      <c r="M918"/>
      <c r="N918"/>
      <c r="O918">
        <v>1.14</v>
      </c>
      <c r="P918">
        <v>0.0</v>
      </c>
      <c r="Q918">
        <v>7.5</v>
      </c>
      <c r="R918"/>
      <c r="S918"/>
      <c r="T918"/>
      <c r="U918"/>
      <c r="V918"/>
      <c r="W918">
        <v>18</v>
      </c>
    </row>
    <row r="919" spans="1:23">
      <c r="A919"/>
      <c r="B919" t="s">
        <v>110</v>
      </c>
      <c r="C919" t="s">
        <v>110</v>
      </c>
      <c r="D919" t="s">
        <v>33</v>
      </c>
      <c r="E919" t="s">
        <v>34</v>
      </c>
      <c r="F919" t="str">
        <f>"0014546"</f>
        <v>0014546</v>
      </c>
      <c r="G919">
        <v>1</v>
      </c>
      <c r="H919" t="str">
        <f>"00000001"</f>
        <v>00000001</v>
      </c>
      <c r="I919" t="s">
        <v>35</v>
      </c>
      <c r="J919"/>
      <c r="K919">
        <v>15.25</v>
      </c>
      <c r="L919">
        <v>0.0</v>
      </c>
      <c r="M919"/>
      <c r="N919"/>
      <c r="O919">
        <v>2.75</v>
      </c>
      <c r="P919">
        <v>0.0</v>
      </c>
      <c r="Q919">
        <v>18.0</v>
      </c>
      <c r="R919"/>
      <c r="S919"/>
      <c r="T919"/>
      <c r="U919"/>
      <c r="V919"/>
      <c r="W919">
        <v>18</v>
      </c>
    </row>
    <row r="920" spans="1:23">
      <c r="A920"/>
      <c r="B920" t="s">
        <v>110</v>
      </c>
      <c r="C920" t="s">
        <v>110</v>
      </c>
      <c r="D920" t="s">
        <v>33</v>
      </c>
      <c r="E920" t="s">
        <v>34</v>
      </c>
      <c r="F920" t="str">
        <f>"0014547"</f>
        <v>0014547</v>
      </c>
      <c r="G920">
        <v>1</v>
      </c>
      <c r="H920" t="str">
        <f>"00000001"</f>
        <v>00000001</v>
      </c>
      <c r="I920" t="s">
        <v>35</v>
      </c>
      <c r="J920"/>
      <c r="K920">
        <v>13.56</v>
      </c>
      <c r="L920">
        <v>0.0</v>
      </c>
      <c r="M920"/>
      <c r="N920"/>
      <c r="O920">
        <v>2.44</v>
      </c>
      <c r="P920">
        <v>0.0</v>
      </c>
      <c r="Q920">
        <v>16.0</v>
      </c>
      <c r="R920"/>
      <c r="S920"/>
      <c r="T920"/>
      <c r="U920"/>
      <c r="V920"/>
      <c r="W920">
        <v>18</v>
      </c>
    </row>
    <row r="921" spans="1:23">
      <c r="A921"/>
      <c r="B921" t="s">
        <v>110</v>
      </c>
      <c r="C921" t="s">
        <v>110</v>
      </c>
      <c r="D921" t="s">
        <v>33</v>
      </c>
      <c r="E921" t="s">
        <v>34</v>
      </c>
      <c r="F921" t="str">
        <f>"0014548"</f>
        <v>0014548</v>
      </c>
      <c r="G921">
        <v>1</v>
      </c>
      <c r="H921" t="str">
        <f>"00000001"</f>
        <v>00000001</v>
      </c>
      <c r="I921" t="s">
        <v>35</v>
      </c>
      <c r="J921"/>
      <c r="K921">
        <v>15.17</v>
      </c>
      <c r="L921">
        <v>0.0</v>
      </c>
      <c r="M921"/>
      <c r="N921"/>
      <c r="O921">
        <v>2.73</v>
      </c>
      <c r="P921">
        <v>0.0</v>
      </c>
      <c r="Q921">
        <v>17.9</v>
      </c>
      <c r="R921"/>
      <c r="S921"/>
      <c r="T921"/>
      <c r="U921"/>
      <c r="V921"/>
      <c r="W921">
        <v>18</v>
      </c>
    </row>
    <row r="922" spans="1:23">
      <c r="A922"/>
      <c r="B922" t="s">
        <v>110</v>
      </c>
      <c r="C922" t="s">
        <v>110</v>
      </c>
      <c r="D922" t="s">
        <v>33</v>
      </c>
      <c r="E922" t="s">
        <v>34</v>
      </c>
      <c r="F922" t="str">
        <f>"0014549"</f>
        <v>0014549</v>
      </c>
      <c r="G922">
        <v>1</v>
      </c>
      <c r="H922" t="str">
        <f>"00000001"</f>
        <v>00000001</v>
      </c>
      <c r="I922" t="s">
        <v>35</v>
      </c>
      <c r="J922"/>
      <c r="K922">
        <v>9.75</v>
      </c>
      <c r="L922">
        <v>0.0</v>
      </c>
      <c r="M922"/>
      <c r="N922"/>
      <c r="O922">
        <v>1.75</v>
      </c>
      <c r="P922">
        <v>0.0</v>
      </c>
      <c r="Q922">
        <v>11.5</v>
      </c>
      <c r="R922"/>
      <c r="S922"/>
      <c r="T922"/>
      <c r="U922"/>
      <c r="V922"/>
      <c r="W922">
        <v>18</v>
      </c>
    </row>
    <row r="923" spans="1:23">
      <c r="A923"/>
      <c r="B923" t="s">
        <v>110</v>
      </c>
      <c r="C923" t="s">
        <v>110</v>
      </c>
      <c r="D923" t="s">
        <v>33</v>
      </c>
      <c r="E923" t="s">
        <v>34</v>
      </c>
      <c r="F923" t="str">
        <f>"0014550"</f>
        <v>0014550</v>
      </c>
      <c r="G923">
        <v>1</v>
      </c>
      <c r="H923" t="str">
        <f>"00000001"</f>
        <v>00000001</v>
      </c>
      <c r="I923" t="s">
        <v>35</v>
      </c>
      <c r="J923"/>
      <c r="K923">
        <v>58.47</v>
      </c>
      <c r="L923">
        <v>0.0</v>
      </c>
      <c r="M923"/>
      <c r="N923"/>
      <c r="O923">
        <v>10.53</v>
      </c>
      <c r="P923">
        <v>0.0</v>
      </c>
      <c r="Q923">
        <v>69.0</v>
      </c>
      <c r="R923"/>
      <c r="S923"/>
      <c r="T923"/>
      <c r="U923"/>
      <c r="V923"/>
      <c r="W923">
        <v>18</v>
      </c>
    </row>
    <row r="924" spans="1:23">
      <c r="A924"/>
      <c r="B924" t="s">
        <v>110</v>
      </c>
      <c r="C924" t="s">
        <v>110</v>
      </c>
      <c r="D924" t="s">
        <v>33</v>
      </c>
      <c r="E924" t="s">
        <v>34</v>
      </c>
      <c r="F924" t="str">
        <f>"0014551"</f>
        <v>0014551</v>
      </c>
      <c r="G924">
        <v>1</v>
      </c>
      <c r="H924" t="str">
        <f>"00000001"</f>
        <v>00000001</v>
      </c>
      <c r="I924" t="s">
        <v>35</v>
      </c>
      <c r="J924"/>
      <c r="K924">
        <v>67.8</v>
      </c>
      <c r="L924">
        <v>0.0</v>
      </c>
      <c r="M924"/>
      <c r="N924"/>
      <c r="O924">
        <v>12.2</v>
      </c>
      <c r="P924">
        <v>0.0</v>
      </c>
      <c r="Q924">
        <v>80.0</v>
      </c>
      <c r="R924"/>
      <c r="S924"/>
      <c r="T924"/>
      <c r="U924"/>
      <c r="V924"/>
      <c r="W924">
        <v>18</v>
      </c>
    </row>
    <row r="925" spans="1:23">
      <c r="A925"/>
      <c r="B925" t="s">
        <v>110</v>
      </c>
      <c r="C925" t="s">
        <v>110</v>
      </c>
      <c r="D925" t="s">
        <v>33</v>
      </c>
      <c r="E925" t="s">
        <v>34</v>
      </c>
      <c r="F925" t="str">
        <f>"0014552"</f>
        <v>0014552</v>
      </c>
      <c r="G925">
        <v>1</v>
      </c>
      <c r="H925" t="str">
        <f>"00000001"</f>
        <v>00000001</v>
      </c>
      <c r="I925" t="s">
        <v>35</v>
      </c>
      <c r="J925"/>
      <c r="K925">
        <v>29.66</v>
      </c>
      <c r="L925">
        <v>0.0</v>
      </c>
      <c r="M925"/>
      <c r="N925"/>
      <c r="O925">
        <v>5.34</v>
      </c>
      <c r="P925">
        <v>0.0</v>
      </c>
      <c r="Q925">
        <v>35.0</v>
      </c>
      <c r="R925"/>
      <c r="S925"/>
      <c r="T925"/>
      <c r="U925"/>
      <c r="V925"/>
      <c r="W925">
        <v>18</v>
      </c>
    </row>
    <row r="926" spans="1:23">
      <c r="A926"/>
      <c r="B926" t="s">
        <v>110</v>
      </c>
      <c r="C926" t="s">
        <v>110</v>
      </c>
      <c r="D926" t="s">
        <v>40</v>
      </c>
      <c r="E926" t="s">
        <v>41</v>
      </c>
      <c r="F926" t="str">
        <f>"0001287"</f>
        <v>0001287</v>
      </c>
      <c r="G926">
        <v>6</v>
      </c>
      <c r="H926" t="str">
        <f>"20602348157"</f>
        <v>20602348157</v>
      </c>
      <c r="I926" t="s">
        <v>109</v>
      </c>
      <c r="J926"/>
      <c r="K926">
        <v>25.85</v>
      </c>
      <c r="L926">
        <v>0.0</v>
      </c>
      <c r="M926"/>
      <c r="N926"/>
      <c r="O926">
        <v>4.65</v>
      </c>
      <c r="P926">
        <v>0.0</v>
      </c>
      <c r="Q926">
        <v>30.5</v>
      </c>
      <c r="R926"/>
      <c r="S926"/>
      <c r="T926"/>
      <c r="U926"/>
      <c r="V926"/>
      <c r="W926">
        <v>18</v>
      </c>
    </row>
    <row r="927" spans="1:23">
      <c r="A927"/>
      <c r="B927" t="s">
        <v>110</v>
      </c>
      <c r="C927" t="s">
        <v>110</v>
      </c>
      <c r="D927" t="s">
        <v>33</v>
      </c>
      <c r="E927" t="s">
        <v>34</v>
      </c>
      <c r="F927" t="str">
        <f>"0014553"</f>
        <v>0014553</v>
      </c>
      <c r="G927">
        <v>1</v>
      </c>
      <c r="H927" t="str">
        <f>"00000001"</f>
        <v>00000001</v>
      </c>
      <c r="I927" t="s">
        <v>35</v>
      </c>
      <c r="J927"/>
      <c r="K927">
        <v>54.24</v>
      </c>
      <c r="L927">
        <v>0.0</v>
      </c>
      <c r="M927"/>
      <c r="N927"/>
      <c r="O927">
        <v>9.76</v>
      </c>
      <c r="P927">
        <v>0.0</v>
      </c>
      <c r="Q927">
        <v>64.0</v>
      </c>
      <c r="R927"/>
      <c r="S927"/>
      <c r="T927"/>
      <c r="U927"/>
      <c r="V927"/>
      <c r="W927">
        <v>18</v>
      </c>
    </row>
    <row r="928" spans="1:23">
      <c r="A928"/>
      <c r="B928" t="s">
        <v>110</v>
      </c>
      <c r="C928" t="s">
        <v>110</v>
      </c>
      <c r="D928" t="s">
        <v>33</v>
      </c>
      <c r="E928" t="s">
        <v>34</v>
      </c>
      <c r="F928" t="str">
        <f>"0014554"</f>
        <v>0014554</v>
      </c>
      <c r="G928">
        <v>1</v>
      </c>
      <c r="H928" t="str">
        <f>"00000001"</f>
        <v>00000001</v>
      </c>
      <c r="I928" t="s">
        <v>35</v>
      </c>
      <c r="J928"/>
      <c r="K928">
        <v>5.51</v>
      </c>
      <c r="L928">
        <v>0.0</v>
      </c>
      <c r="M928"/>
      <c r="N928"/>
      <c r="O928">
        <v>0.99</v>
      </c>
      <c r="P928">
        <v>0.0</v>
      </c>
      <c r="Q928">
        <v>6.5</v>
      </c>
      <c r="R928"/>
      <c r="S928"/>
      <c r="T928"/>
      <c r="U928"/>
      <c r="V928"/>
      <c r="W928">
        <v>18</v>
      </c>
    </row>
    <row r="929" spans="1:23">
      <c r="A929"/>
      <c r="B929" t="s">
        <v>110</v>
      </c>
      <c r="C929" t="s">
        <v>110</v>
      </c>
      <c r="D929" t="s">
        <v>33</v>
      </c>
      <c r="E929" t="s">
        <v>34</v>
      </c>
      <c r="F929" t="str">
        <f>"0014555"</f>
        <v>0014555</v>
      </c>
      <c r="G929">
        <v>1</v>
      </c>
      <c r="H929" t="str">
        <f>"00000001"</f>
        <v>00000001</v>
      </c>
      <c r="I929" t="s">
        <v>35</v>
      </c>
      <c r="J929"/>
      <c r="K929">
        <v>60.17</v>
      </c>
      <c r="L929">
        <v>0.0</v>
      </c>
      <c r="M929"/>
      <c r="N929"/>
      <c r="O929">
        <v>10.83</v>
      </c>
      <c r="P929">
        <v>0.0</v>
      </c>
      <c r="Q929">
        <v>71.0</v>
      </c>
      <c r="R929"/>
      <c r="S929"/>
      <c r="T929"/>
      <c r="U929"/>
      <c r="V929"/>
      <c r="W929">
        <v>18</v>
      </c>
    </row>
    <row r="930" spans="1:23">
      <c r="A930"/>
      <c r="B930" t="s">
        <v>110</v>
      </c>
      <c r="C930" t="s">
        <v>110</v>
      </c>
      <c r="D930" t="s">
        <v>33</v>
      </c>
      <c r="E930" t="s">
        <v>34</v>
      </c>
      <c r="F930" t="str">
        <f>"0014556"</f>
        <v>0014556</v>
      </c>
      <c r="G930">
        <v>1</v>
      </c>
      <c r="H930" t="str">
        <f>"00000001"</f>
        <v>00000001</v>
      </c>
      <c r="I930" t="s">
        <v>35</v>
      </c>
      <c r="J930"/>
      <c r="K930">
        <v>67.12</v>
      </c>
      <c r="L930">
        <v>0.0</v>
      </c>
      <c r="M930"/>
      <c r="N930"/>
      <c r="O930">
        <v>12.08</v>
      </c>
      <c r="P930">
        <v>0.0</v>
      </c>
      <c r="Q930">
        <v>79.2</v>
      </c>
      <c r="R930"/>
      <c r="S930"/>
      <c r="T930"/>
      <c r="U930"/>
      <c r="V930"/>
      <c r="W930">
        <v>18</v>
      </c>
    </row>
    <row r="931" spans="1:23">
      <c r="A931"/>
      <c r="B931" t="s">
        <v>110</v>
      </c>
      <c r="C931" t="s">
        <v>110</v>
      </c>
      <c r="D931" t="s">
        <v>33</v>
      </c>
      <c r="E931" t="s">
        <v>34</v>
      </c>
      <c r="F931" t="str">
        <f>"0014557"</f>
        <v>0014557</v>
      </c>
      <c r="G931">
        <v>1</v>
      </c>
      <c r="H931" t="str">
        <f>"60795362"</f>
        <v>60795362</v>
      </c>
      <c r="I931" t="s">
        <v>111</v>
      </c>
      <c r="J931"/>
      <c r="K931">
        <v>101.69</v>
      </c>
      <c r="L931">
        <v>0.0</v>
      </c>
      <c r="M931"/>
      <c r="N931"/>
      <c r="O931">
        <v>18.31</v>
      </c>
      <c r="P931">
        <v>0.0</v>
      </c>
      <c r="Q931">
        <v>120.0</v>
      </c>
      <c r="R931"/>
      <c r="S931"/>
      <c r="T931"/>
      <c r="U931"/>
      <c r="V931"/>
      <c r="W931">
        <v>18</v>
      </c>
    </row>
    <row r="932" spans="1:23">
      <c r="A932"/>
      <c r="B932" t="s">
        <v>110</v>
      </c>
      <c r="C932" t="s">
        <v>110</v>
      </c>
      <c r="D932" t="s">
        <v>33</v>
      </c>
      <c r="E932" t="s">
        <v>34</v>
      </c>
      <c r="F932" t="str">
        <f>"0014558"</f>
        <v>0014558</v>
      </c>
      <c r="G932">
        <v>1</v>
      </c>
      <c r="H932" t="str">
        <f>"00000001"</f>
        <v>00000001</v>
      </c>
      <c r="I932" t="s">
        <v>35</v>
      </c>
      <c r="J932"/>
      <c r="K932">
        <v>25.42</v>
      </c>
      <c r="L932">
        <v>0.0</v>
      </c>
      <c r="M932"/>
      <c r="N932"/>
      <c r="O932">
        <v>4.58</v>
      </c>
      <c r="P932">
        <v>0.0</v>
      </c>
      <c r="Q932">
        <v>30.0</v>
      </c>
      <c r="R932"/>
      <c r="S932"/>
      <c r="T932"/>
      <c r="U932"/>
      <c r="V932"/>
      <c r="W932">
        <v>18</v>
      </c>
    </row>
    <row r="933" spans="1:23">
      <c r="A933"/>
      <c r="B933" t="s">
        <v>110</v>
      </c>
      <c r="C933" t="s">
        <v>110</v>
      </c>
      <c r="D933" t="s">
        <v>33</v>
      </c>
      <c r="E933" t="s">
        <v>34</v>
      </c>
      <c r="F933" t="str">
        <f>"0014559"</f>
        <v>0014559</v>
      </c>
      <c r="G933">
        <v>1</v>
      </c>
      <c r="H933" t="str">
        <f>"00000001"</f>
        <v>00000001</v>
      </c>
      <c r="I933" t="s">
        <v>35</v>
      </c>
      <c r="J933"/>
      <c r="K933">
        <v>2.97</v>
      </c>
      <c r="L933">
        <v>0.0</v>
      </c>
      <c r="M933"/>
      <c r="N933"/>
      <c r="O933">
        <v>0.53</v>
      </c>
      <c r="P933">
        <v>0.0</v>
      </c>
      <c r="Q933">
        <v>3.5</v>
      </c>
      <c r="R933"/>
      <c r="S933"/>
      <c r="T933"/>
      <c r="U933"/>
      <c r="V933"/>
      <c r="W933">
        <v>18</v>
      </c>
    </row>
    <row r="934" spans="1:23">
      <c r="A934"/>
      <c r="B934" t="s">
        <v>110</v>
      </c>
      <c r="C934" t="s">
        <v>110</v>
      </c>
      <c r="D934" t="s">
        <v>33</v>
      </c>
      <c r="E934" t="s">
        <v>34</v>
      </c>
      <c r="F934" t="str">
        <f>"0014560"</f>
        <v>0014560</v>
      </c>
      <c r="G934">
        <v>1</v>
      </c>
      <c r="H934" t="str">
        <f>"00000001"</f>
        <v>00000001</v>
      </c>
      <c r="I934" t="s">
        <v>35</v>
      </c>
      <c r="J934"/>
      <c r="K934">
        <v>196.61</v>
      </c>
      <c r="L934">
        <v>0.0</v>
      </c>
      <c r="M934"/>
      <c r="N934"/>
      <c r="O934">
        <v>35.39</v>
      </c>
      <c r="P934">
        <v>0.0</v>
      </c>
      <c r="Q934">
        <v>232.0</v>
      </c>
      <c r="R934"/>
      <c r="S934"/>
      <c r="T934"/>
      <c r="U934"/>
      <c r="V934"/>
      <c r="W934">
        <v>18</v>
      </c>
    </row>
    <row r="935" spans="1:23">
      <c r="A935"/>
      <c r="B935" t="s">
        <v>110</v>
      </c>
      <c r="C935" t="s">
        <v>110</v>
      </c>
      <c r="D935" t="s">
        <v>33</v>
      </c>
      <c r="E935" t="s">
        <v>34</v>
      </c>
      <c r="F935" t="str">
        <f>"0014561"</f>
        <v>0014561</v>
      </c>
      <c r="G935">
        <v>1</v>
      </c>
      <c r="H935" t="str">
        <f>"00000001"</f>
        <v>00000001</v>
      </c>
      <c r="I935" t="s">
        <v>35</v>
      </c>
      <c r="J935"/>
      <c r="K935">
        <v>12.71</v>
      </c>
      <c r="L935">
        <v>0.0</v>
      </c>
      <c r="M935"/>
      <c r="N935"/>
      <c r="O935">
        <v>2.29</v>
      </c>
      <c r="P935">
        <v>0.0</v>
      </c>
      <c r="Q935">
        <v>15.0</v>
      </c>
      <c r="R935"/>
      <c r="S935"/>
      <c r="T935"/>
      <c r="U935"/>
      <c r="V935"/>
      <c r="W935">
        <v>18</v>
      </c>
    </row>
    <row r="936" spans="1:23">
      <c r="A936"/>
      <c r="B936" t="s">
        <v>110</v>
      </c>
      <c r="C936" t="s">
        <v>110</v>
      </c>
      <c r="D936" t="s">
        <v>33</v>
      </c>
      <c r="E936" t="s">
        <v>34</v>
      </c>
      <c r="F936" t="str">
        <f>"0014562"</f>
        <v>0014562</v>
      </c>
      <c r="G936">
        <v>1</v>
      </c>
      <c r="H936" t="str">
        <f>"00000001"</f>
        <v>00000001</v>
      </c>
      <c r="I936" t="s">
        <v>35</v>
      </c>
      <c r="J936"/>
      <c r="K936">
        <v>16.95</v>
      </c>
      <c r="L936">
        <v>0.0</v>
      </c>
      <c r="M936"/>
      <c r="N936"/>
      <c r="O936">
        <v>3.05</v>
      </c>
      <c r="P936">
        <v>0.0</v>
      </c>
      <c r="Q936">
        <v>20.0</v>
      </c>
      <c r="R936"/>
      <c r="S936"/>
      <c r="T936"/>
      <c r="U936"/>
      <c r="V936"/>
      <c r="W936">
        <v>18</v>
      </c>
    </row>
    <row r="937" spans="1:23">
      <c r="A937"/>
      <c r="B937" t="s">
        <v>110</v>
      </c>
      <c r="C937" t="s">
        <v>110</v>
      </c>
      <c r="D937" t="s">
        <v>33</v>
      </c>
      <c r="E937" t="s">
        <v>34</v>
      </c>
      <c r="F937" t="str">
        <f>"0014563"</f>
        <v>0014563</v>
      </c>
      <c r="G937">
        <v>1</v>
      </c>
      <c r="H937" t="str">
        <f>"00000001"</f>
        <v>00000001</v>
      </c>
      <c r="I937" t="s">
        <v>35</v>
      </c>
      <c r="J937"/>
      <c r="K937">
        <v>94.07</v>
      </c>
      <c r="L937">
        <v>0.0</v>
      </c>
      <c r="M937"/>
      <c r="N937"/>
      <c r="O937">
        <v>16.93</v>
      </c>
      <c r="P937">
        <v>0.0</v>
      </c>
      <c r="Q937">
        <v>111.0</v>
      </c>
      <c r="R937"/>
      <c r="S937"/>
      <c r="T937"/>
      <c r="U937"/>
      <c r="V937"/>
      <c r="W937">
        <v>18</v>
      </c>
    </row>
    <row r="938" spans="1:23">
      <c r="A938"/>
      <c r="B938" t="s">
        <v>110</v>
      </c>
      <c r="C938" t="s">
        <v>110</v>
      </c>
      <c r="D938" t="s">
        <v>33</v>
      </c>
      <c r="E938" t="s">
        <v>34</v>
      </c>
      <c r="F938" t="str">
        <f>"0014564"</f>
        <v>0014564</v>
      </c>
      <c r="G938">
        <v>1</v>
      </c>
      <c r="H938" t="str">
        <f>"44464885"</f>
        <v>44464885</v>
      </c>
      <c r="I938" t="s">
        <v>112</v>
      </c>
      <c r="J938"/>
      <c r="K938">
        <v>177.97</v>
      </c>
      <c r="L938">
        <v>0.0</v>
      </c>
      <c r="M938"/>
      <c r="N938"/>
      <c r="O938">
        <v>32.03</v>
      </c>
      <c r="P938">
        <v>0.0</v>
      </c>
      <c r="Q938">
        <v>210.0</v>
      </c>
      <c r="R938"/>
      <c r="S938"/>
      <c r="T938"/>
      <c r="U938"/>
      <c r="V938"/>
      <c r="W938">
        <v>18</v>
      </c>
    </row>
    <row r="939" spans="1:23">
      <c r="A939"/>
      <c r="B939" t="s">
        <v>110</v>
      </c>
      <c r="C939" t="s">
        <v>110</v>
      </c>
      <c r="D939" t="s">
        <v>33</v>
      </c>
      <c r="E939" t="s">
        <v>34</v>
      </c>
      <c r="F939" t="str">
        <f>"0014565"</f>
        <v>0014565</v>
      </c>
      <c r="G939">
        <v>1</v>
      </c>
      <c r="H939" t="str">
        <f>"00000001"</f>
        <v>00000001</v>
      </c>
      <c r="I939" t="s">
        <v>35</v>
      </c>
      <c r="J939"/>
      <c r="K939">
        <v>18.64</v>
      </c>
      <c r="L939">
        <v>0.0</v>
      </c>
      <c r="M939"/>
      <c r="N939"/>
      <c r="O939">
        <v>3.36</v>
      </c>
      <c r="P939">
        <v>0.0</v>
      </c>
      <c r="Q939">
        <v>22.0</v>
      </c>
      <c r="R939"/>
      <c r="S939"/>
      <c r="T939"/>
      <c r="U939"/>
      <c r="V939"/>
      <c r="W939">
        <v>18</v>
      </c>
    </row>
    <row r="940" spans="1:23">
      <c r="A940"/>
      <c r="B940" t="s">
        <v>110</v>
      </c>
      <c r="C940" t="s">
        <v>110</v>
      </c>
      <c r="D940" t="s">
        <v>33</v>
      </c>
      <c r="E940" t="s">
        <v>34</v>
      </c>
      <c r="F940" t="str">
        <f>"0014566"</f>
        <v>0014566</v>
      </c>
      <c r="G940">
        <v>1</v>
      </c>
      <c r="H940" t="str">
        <f>"00000001"</f>
        <v>00000001</v>
      </c>
      <c r="I940" t="s">
        <v>35</v>
      </c>
      <c r="J940"/>
      <c r="K940">
        <v>29.66</v>
      </c>
      <c r="L940">
        <v>0.0</v>
      </c>
      <c r="M940"/>
      <c r="N940"/>
      <c r="O940">
        <v>5.34</v>
      </c>
      <c r="P940">
        <v>0.0</v>
      </c>
      <c r="Q940">
        <v>35.0</v>
      </c>
      <c r="R940"/>
      <c r="S940"/>
      <c r="T940"/>
      <c r="U940"/>
      <c r="V940"/>
      <c r="W940">
        <v>18</v>
      </c>
    </row>
    <row r="941" spans="1:23">
      <c r="A941"/>
      <c r="B941" t="s">
        <v>110</v>
      </c>
      <c r="C941" t="s">
        <v>110</v>
      </c>
      <c r="D941" t="s">
        <v>33</v>
      </c>
      <c r="E941" t="s">
        <v>34</v>
      </c>
      <c r="F941" t="str">
        <f>"0014567"</f>
        <v>0014567</v>
      </c>
      <c r="G941">
        <v>1</v>
      </c>
      <c r="H941" t="str">
        <f>"00000001"</f>
        <v>00000001</v>
      </c>
      <c r="I941" t="s">
        <v>35</v>
      </c>
      <c r="J941"/>
      <c r="K941">
        <v>16.95</v>
      </c>
      <c r="L941">
        <v>0.0</v>
      </c>
      <c r="M941"/>
      <c r="N941"/>
      <c r="O941">
        <v>3.05</v>
      </c>
      <c r="P941">
        <v>0.0</v>
      </c>
      <c r="Q941">
        <v>20.0</v>
      </c>
      <c r="R941"/>
      <c r="S941"/>
      <c r="T941"/>
      <c r="U941"/>
      <c r="V941"/>
      <c r="W941">
        <v>18</v>
      </c>
    </row>
    <row r="942" spans="1:23">
      <c r="A942"/>
      <c r="B942" t="s">
        <v>110</v>
      </c>
      <c r="C942" t="s">
        <v>110</v>
      </c>
      <c r="D942" t="s">
        <v>33</v>
      </c>
      <c r="E942" t="s">
        <v>34</v>
      </c>
      <c r="F942" t="str">
        <f>"0014568"</f>
        <v>0014568</v>
      </c>
      <c r="G942">
        <v>1</v>
      </c>
      <c r="H942" t="str">
        <f>"00000001"</f>
        <v>00000001</v>
      </c>
      <c r="I942" t="s">
        <v>35</v>
      </c>
      <c r="J942"/>
      <c r="K942">
        <v>11.86</v>
      </c>
      <c r="L942">
        <v>0.0</v>
      </c>
      <c r="M942"/>
      <c r="N942"/>
      <c r="O942">
        <v>2.14</v>
      </c>
      <c r="P942">
        <v>0.0</v>
      </c>
      <c r="Q942">
        <v>14.0</v>
      </c>
      <c r="R942"/>
      <c r="S942"/>
      <c r="T942"/>
      <c r="U942"/>
      <c r="V942"/>
      <c r="W942">
        <v>18</v>
      </c>
    </row>
    <row r="943" spans="1:23">
      <c r="A943"/>
      <c r="B943" t="s">
        <v>110</v>
      </c>
      <c r="C943" t="s">
        <v>110</v>
      </c>
      <c r="D943" t="s">
        <v>33</v>
      </c>
      <c r="E943" t="s">
        <v>34</v>
      </c>
      <c r="F943" t="str">
        <f>"0014569"</f>
        <v>0014569</v>
      </c>
      <c r="G943">
        <v>1</v>
      </c>
      <c r="H943" t="str">
        <f>"00000001"</f>
        <v>00000001</v>
      </c>
      <c r="I943" t="s">
        <v>35</v>
      </c>
      <c r="J943"/>
      <c r="K943">
        <v>10.17</v>
      </c>
      <c r="L943">
        <v>0.0</v>
      </c>
      <c r="M943"/>
      <c r="N943"/>
      <c r="O943">
        <v>1.83</v>
      </c>
      <c r="P943">
        <v>0.0</v>
      </c>
      <c r="Q943">
        <v>12.0</v>
      </c>
      <c r="R943"/>
      <c r="S943"/>
      <c r="T943"/>
      <c r="U943"/>
      <c r="V943"/>
      <c r="W943">
        <v>18</v>
      </c>
    </row>
    <row r="944" spans="1:23">
      <c r="A944"/>
      <c r="B944" t="s">
        <v>113</v>
      </c>
      <c r="C944" t="s">
        <v>113</v>
      </c>
      <c r="D944" t="s">
        <v>40</v>
      </c>
      <c r="E944" t="s">
        <v>41</v>
      </c>
      <c r="F944" t="str">
        <f>"0001288"</f>
        <v>0001288</v>
      </c>
      <c r="G944">
        <v>6</v>
      </c>
      <c r="H944" t="str">
        <f>"20610897992"</f>
        <v>20610897992</v>
      </c>
      <c r="I944" t="s">
        <v>114</v>
      </c>
      <c r="J944"/>
      <c r="K944">
        <v>11.86</v>
      </c>
      <c r="L944">
        <v>0.0</v>
      </c>
      <c r="M944"/>
      <c r="N944"/>
      <c r="O944">
        <v>2.14</v>
      </c>
      <c r="P944">
        <v>0.0</v>
      </c>
      <c r="Q944">
        <v>14.0</v>
      </c>
      <c r="R944"/>
      <c r="S944"/>
      <c r="T944"/>
      <c r="U944"/>
      <c r="V944"/>
      <c r="W944">
        <v>18</v>
      </c>
    </row>
    <row r="945" spans="1:23">
      <c r="A945"/>
      <c r="B945" t="s">
        <v>113</v>
      </c>
      <c r="C945" t="s">
        <v>113</v>
      </c>
      <c r="D945" t="s">
        <v>33</v>
      </c>
      <c r="E945" t="s">
        <v>34</v>
      </c>
      <c r="F945" t="str">
        <f>"0014570"</f>
        <v>0014570</v>
      </c>
      <c r="G945">
        <v>1</v>
      </c>
      <c r="H945" t="str">
        <f>"00000001"</f>
        <v>00000001</v>
      </c>
      <c r="I945" t="s">
        <v>35</v>
      </c>
      <c r="J945"/>
      <c r="K945">
        <v>17.8</v>
      </c>
      <c r="L945">
        <v>0.0</v>
      </c>
      <c r="M945"/>
      <c r="N945"/>
      <c r="O945">
        <v>3.2</v>
      </c>
      <c r="P945">
        <v>0.0</v>
      </c>
      <c r="Q945">
        <v>21.0</v>
      </c>
      <c r="R945"/>
      <c r="S945"/>
      <c r="T945"/>
      <c r="U945"/>
      <c r="V945"/>
      <c r="W945">
        <v>18</v>
      </c>
    </row>
    <row r="946" spans="1:23">
      <c r="A946"/>
      <c r="B946" t="s">
        <v>113</v>
      </c>
      <c r="C946" t="s">
        <v>113</v>
      </c>
      <c r="D946" t="s">
        <v>33</v>
      </c>
      <c r="E946" t="s">
        <v>34</v>
      </c>
      <c r="F946" t="str">
        <f>"0014571"</f>
        <v>0014571</v>
      </c>
      <c r="G946">
        <v>1</v>
      </c>
      <c r="H946" t="str">
        <f>"00000001"</f>
        <v>00000001</v>
      </c>
      <c r="I946" t="s">
        <v>35</v>
      </c>
      <c r="J946"/>
      <c r="K946">
        <v>25.42</v>
      </c>
      <c r="L946">
        <v>0.0</v>
      </c>
      <c r="M946"/>
      <c r="N946"/>
      <c r="O946">
        <v>4.58</v>
      </c>
      <c r="P946">
        <v>0.0</v>
      </c>
      <c r="Q946">
        <v>30.0</v>
      </c>
      <c r="R946"/>
      <c r="S946"/>
      <c r="T946"/>
      <c r="U946"/>
      <c r="V946"/>
      <c r="W946">
        <v>18</v>
      </c>
    </row>
    <row r="947" spans="1:23">
      <c r="A947"/>
      <c r="B947" t="s">
        <v>113</v>
      </c>
      <c r="C947" t="s">
        <v>113</v>
      </c>
      <c r="D947" t="s">
        <v>40</v>
      </c>
      <c r="E947" t="s">
        <v>41</v>
      </c>
      <c r="F947" t="str">
        <f>"0001289"</f>
        <v>0001289</v>
      </c>
      <c r="G947">
        <v>6</v>
      </c>
      <c r="H947" t="str">
        <f>"20606259094"</f>
        <v>20606259094</v>
      </c>
      <c r="I947" t="s">
        <v>61</v>
      </c>
      <c r="J947"/>
      <c r="K947">
        <v>63.56</v>
      </c>
      <c r="L947">
        <v>0.0</v>
      </c>
      <c r="M947"/>
      <c r="N947"/>
      <c r="O947">
        <v>11.44</v>
      </c>
      <c r="P947">
        <v>0.0</v>
      </c>
      <c r="Q947">
        <v>75.0</v>
      </c>
      <c r="R947"/>
      <c r="S947"/>
      <c r="T947"/>
      <c r="U947"/>
      <c r="V947"/>
      <c r="W947">
        <v>18</v>
      </c>
    </row>
    <row r="948" spans="1:23">
      <c r="A948"/>
      <c r="B948" t="s">
        <v>113</v>
      </c>
      <c r="C948" t="s">
        <v>113</v>
      </c>
      <c r="D948" t="s">
        <v>33</v>
      </c>
      <c r="E948" t="s">
        <v>34</v>
      </c>
      <c r="F948" t="str">
        <f>"0014572"</f>
        <v>0014572</v>
      </c>
      <c r="G948">
        <v>1</v>
      </c>
      <c r="H948" t="str">
        <f>"00IENSDL"</f>
        <v>00IENSDL</v>
      </c>
      <c r="I948" t="s">
        <v>94</v>
      </c>
      <c r="J948"/>
      <c r="K948">
        <v>15.25</v>
      </c>
      <c r="L948">
        <v>0.0</v>
      </c>
      <c r="M948"/>
      <c r="N948"/>
      <c r="O948">
        <v>2.75</v>
      </c>
      <c r="P948">
        <v>0.0</v>
      </c>
      <c r="Q948">
        <v>18.0</v>
      </c>
      <c r="R948"/>
      <c r="S948"/>
      <c r="T948"/>
      <c r="U948"/>
      <c r="V948"/>
      <c r="W948">
        <v>18</v>
      </c>
    </row>
    <row r="949" spans="1:23">
      <c r="A949"/>
      <c r="B949" t="s">
        <v>113</v>
      </c>
      <c r="C949" t="s">
        <v>113</v>
      </c>
      <c r="D949" t="s">
        <v>33</v>
      </c>
      <c r="E949" t="s">
        <v>34</v>
      </c>
      <c r="F949" t="str">
        <f>"0014573"</f>
        <v>0014573</v>
      </c>
      <c r="G949">
        <v>1</v>
      </c>
      <c r="H949" t="str">
        <f>"000000PB"</f>
        <v>000000PB</v>
      </c>
      <c r="I949" t="s">
        <v>115</v>
      </c>
      <c r="J949"/>
      <c r="K949">
        <v>4.24</v>
      </c>
      <c r="L949">
        <v>0.0</v>
      </c>
      <c r="M949"/>
      <c r="N949"/>
      <c r="O949">
        <v>0.76</v>
      </c>
      <c r="P949">
        <v>0.0</v>
      </c>
      <c r="Q949">
        <v>5.0</v>
      </c>
      <c r="R949"/>
      <c r="S949"/>
      <c r="T949"/>
      <c r="U949"/>
      <c r="V949"/>
      <c r="W949">
        <v>18</v>
      </c>
    </row>
    <row r="950" spans="1:23">
      <c r="A950"/>
      <c r="B950" t="s">
        <v>113</v>
      </c>
      <c r="C950" t="s">
        <v>113</v>
      </c>
      <c r="D950" t="s">
        <v>33</v>
      </c>
      <c r="E950" t="s">
        <v>34</v>
      </c>
      <c r="F950" t="str">
        <f>"0014574"</f>
        <v>0014574</v>
      </c>
      <c r="G950">
        <v>1</v>
      </c>
      <c r="H950" t="str">
        <f>"00000001"</f>
        <v>00000001</v>
      </c>
      <c r="I950" t="s">
        <v>35</v>
      </c>
      <c r="J950"/>
      <c r="K950">
        <v>12.71</v>
      </c>
      <c r="L950">
        <v>0.0</v>
      </c>
      <c r="M950"/>
      <c r="N950"/>
      <c r="O950">
        <v>2.29</v>
      </c>
      <c r="P950">
        <v>0.0</v>
      </c>
      <c r="Q950">
        <v>15.0</v>
      </c>
      <c r="R950"/>
      <c r="S950"/>
      <c r="T950"/>
      <c r="U950"/>
      <c r="V950"/>
      <c r="W950">
        <v>18</v>
      </c>
    </row>
    <row r="951" spans="1:23">
      <c r="A951"/>
      <c r="B951" t="s">
        <v>113</v>
      </c>
      <c r="C951" t="s">
        <v>113</v>
      </c>
      <c r="D951" t="s">
        <v>33</v>
      </c>
      <c r="E951" t="s">
        <v>34</v>
      </c>
      <c r="F951" t="str">
        <f>"0014575"</f>
        <v>0014575</v>
      </c>
      <c r="G951">
        <v>1</v>
      </c>
      <c r="H951" t="str">
        <f>"00000001"</f>
        <v>00000001</v>
      </c>
      <c r="I951" t="s">
        <v>35</v>
      </c>
      <c r="J951"/>
      <c r="K951">
        <v>20.51</v>
      </c>
      <c r="L951">
        <v>0.0</v>
      </c>
      <c r="M951"/>
      <c r="N951"/>
      <c r="O951">
        <v>3.69</v>
      </c>
      <c r="P951">
        <v>0.0</v>
      </c>
      <c r="Q951">
        <v>24.2</v>
      </c>
      <c r="R951"/>
      <c r="S951"/>
      <c r="T951"/>
      <c r="U951"/>
      <c r="V951"/>
      <c r="W951">
        <v>18</v>
      </c>
    </row>
    <row r="952" spans="1:23">
      <c r="A952"/>
      <c r="B952" t="s">
        <v>113</v>
      </c>
      <c r="C952" t="s">
        <v>113</v>
      </c>
      <c r="D952" t="s">
        <v>33</v>
      </c>
      <c r="E952" t="s">
        <v>34</v>
      </c>
      <c r="F952" t="str">
        <f>"0014576"</f>
        <v>0014576</v>
      </c>
      <c r="G952">
        <v>1</v>
      </c>
      <c r="H952" t="str">
        <f>"00000001"</f>
        <v>00000001</v>
      </c>
      <c r="I952" t="s">
        <v>35</v>
      </c>
      <c r="J952"/>
      <c r="K952">
        <v>16.95</v>
      </c>
      <c r="L952">
        <v>0.0</v>
      </c>
      <c r="M952"/>
      <c r="N952"/>
      <c r="O952">
        <v>3.05</v>
      </c>
      <c r="P952">
        <v>0.0</v>
      </c>
      <c r="Q952">
        <v>20.0</v>
      </c>
      <c r="R952"/>
      <c r="S952"/>
      <c r="T952"/>
      <c r="U952"/>
      <c r="V952"/>
      <c r="W952">
        <v>18</v>
      </c>
    </row>
    <row r="953" spans="1:23">
      <c r="A953"/>
      <c r="B953" t="s">
        <v>113</v>
      </c>
      <c r="C953" t="s">
        <v>113</v>
      </c>
      <c r="D953" t="s">
        <v>33</v>
      </c>
      <c r="E953" t="s">
        <v>34</v>
      </c>
      <c r="F953" t="str">
        <f>"0014577"</f>
        <v>0014577</v>
      </c>
      <c r="G953">
        <v>1</v>
      </c>
      <c r="H953" t="str">
        <f>"00000001"</f>
        <v>00000001</v>
      </c>
      <c r="I953" t="s">
        <v>35</v>
      </c>
      <c r="J953"/>
      <c r="K953">
        <v>12.71</v>
      </c>
      <c r="L953">
        <v>0.0</v>
      </c>
      <c r="M953"/>
      <c r="N953"/>
      <c r="O953">
        <v>2.29</v>
      </c>
      <c r="P953">
        <v>0.0</v>
      </c>
      <c r="Q953">
        <v>15.0</v>
      </c>
      <c r="R953"/>
      <c r="S953"/>
      <c r="T953"/>
      <c r="U953"/>
      <c r="V953"/>
      <c r="W953">
        <v>18</v>
      </c>
    </row>
    <row r="954" spans="1:23">
      <c r="A954"/>
      <c r="B954" t="s">
        <v>113</v>
      </c>
      <c r="C954" t="s">
        <v>113</v>
      </c>
      <c r="D954" t="s">
        <v>40</v>
      </c>
      <c r="E954" t="s">
        <v>41</v>
      </c>
      <c r="F954" t="str">
        <f>"0001290"</f>
        <v>0001290</v>
      </c>
      <c r="G954">
        <v>6</v>
      </c>
      <c r="H954" t="str">
        <f>"20613583107"</f>
        <v>20613583107</v>
      </c>
      <c r="I954" t="s">
        <v>45</v>
      </c>
      <c r="J954"/>
      <c r="K954">
        <v>211.86</v>
      </c>
      <c r="L954">
        <v>0.0</v>
      </c>
      <c r="M954"/>
      <c r="N954"/>
      <c r="O954">
        <v>38.14</v>
      </c>
      <c r="P954">
        <v>0.0</v>
      </c>
      <c r="Q954">
        <v>250.0</v>
      </c>
      <c r="R954"/>
      <c r="S954"/>
      <c r="T954"/>
      <c r="U954"/>
      <c r="V954"/>
      <c r="W954">
        <v>18</v>
      </c>
    </row>
    <row r="955" spans="1:23">
      <c r="A955"/>
      <c r="B955" t="s">
        <v>113</v>
      </c>
      <c r="C955" t="s">
        <v>113</v>
      </c>
      <c r="D955" t="s">
        <v>33</v>
      </c>
      <c r="E955" t="s">
        <v>34</v>
      </c>
      <c r="F955" t="str">
        <f>"0014578"</f>
        <v>0014578</v>
      </c>
      <c r="G955">
        <v>1</v>
      </c>
      <c r="H955" t="str">
        <f>"00000001"</f>
        <v>00000001</v>
      </c>
      <c r="I955" t="s">
        <v>35</v>
      </c>
      <c r="J955"/>
      <c r="K955">
        <v>3.39</v>
      </c>
      <c r="L955">
        <v>0.0</v>
      </c>
      <c r="M955"/>
      <c r="N955"/>
      <c r="O955">
        <v>0.61</v>
      </c>
      <c r="P955">
        <v>0.0</v>
      </c>
      <c r="Q955">
        <v>4.0</v>
      </c>
      <c r="R955"/>
      <c r="S955"/>
      <c r="T955"/>
      <c r="U955"/>
      <c r="V955"/>
      <c r="W955">
        <v>18</v>
      </c>
    </row>
    <row r="956" spans="1:23">
      <c r="A956"/>
      <c r="B956" t="s">
        <v>113</v>
      </c>
      <c r="C956" t="s">
        <v>113</v>
      </c>
      <c r="D956" t="s">
        <v>33</v>
      </c>
      <c r="E956" t="s">
        <v>34</v>
      </c>
      <c r="F956" t="str">
        <f>"0014579"</f>
        <v>0014579</v>
      </c>
      <c r="G956">
        <v>1</v>
      </c>
      <c r="H956" t="str">
        <f>"00000001"</f>
        <v>00000001</v>
      </c>
      <c r="I956" t="s">
        <v>35</v>
      </c>
      <c r="J956"/>
      <c r="K956">
        <v>1.27</v>
      </c>
      <c r="L956">
        <v>0.0</v>
      </c>
      <c r="M956"/>
      <c r="N956"/>
      <c r="O956">
        <v>0.23</v>
      </c>
      <c r="P956">
        <v>0.0</v>
      </c>
      <c r="Q956">
        <v>1.5</v>
      </c>
      <c r="R956"/>
      <c r="S956"/>
      <c r="T956"/>
      <c r="U956"/>
      <c r="V956"/>
      <c r="W956">
        <v>18</v>
      </c>
    </row>
    <row r="957" spans="1:23">
      <c r="A957"/>
      <c r="B957" t="s">
        <v>113</v>
      </c>
      <c r="C957" t="s">
        <v>113</v>
      </c>
      <c r="D957" t="s">
        <v>33</v>
      </c>
      <c r="E957" t="s">
        <v>34</v>
      </c>
      <c r="F957" t="str">
        <f>"0014580"</f>
        <v>0014580</v>
      </c>
      <c r="G957">
        <v>1</v>
      </c>
      <c r="H957" t="str">
        <f>"00000001"</f>
        <v>00000001</v>
      </c>
      <c r="I957" t="s">
        <v>35</v>
      </c>
      <c r="J957"/>
      <c r="K957">
        <v>27.97</v>
      </c>
      <c r="L957">
        <v>0.0</v>
      </c>
      <c r="M957"/>
      <c r="N957"/>
      <c r="O957">
        <v>5.03</v>
      </c>
      <c r="P957">
        <v>0.0</v>
      </c>
      <c r="Q957">
        <v>33.0</v>
      </c>
      <c r="R957"/>
      <c r="S957"/>
      <c r="T957"/>
      <c r="U957"/>
      <c r="V957"/>
      <c r="W957">
        <v>18</v>
      </c>
    </row>
    <row r="958" spans="1:23">
      <c r="A958"/>
      <c r="B958" t="s">
        <v>113</v>
      </c>
      <c r="C958" t="s">
        <v>113</v>
      </c>
      <c r="D958" t="s">
        <v>33</v>
      </c>
      <c r="E958" t="s">
        <v>34</v>
      </c>
      <c r="F958" t="str">
        <f>"0014581"</f>
        <v>0014581</v>
      </c>
      <c r="G958">
        <v>1</v>
      </c>
      <c r="H958" t="str">
        <f>"00000001"</f>
        <v>00000001</v>
      </c>
      <c r="I958" t="s">
        <v>35</v>
      </c>
      <c r="J958"/>
      <c r="K958">
        <v>15.25</v>
      </c>
      <c r="L958">
        <v>0.0</v>
      </c>
      <c r="M958"/>
      <c r="N958"/>
      <c r="O958">
        <v>2.75</v>
      </c>
      <c r="P958">
        <v>0.0</v>
      </c>
      <c r="Q958">
        <v>18.0</v>
      </c>
      <c r="R958"/>
      <c r="S958"/>
      <c r="T958"/>
      <c r="U958"/>
      <c r="V958"/>
      <c r="W958">
        <v>18</v>
      </c>
    </row>
    <row r="959" spans="1:23">
      <c r="A959"/>
      <c r="B959" t="s">
        <v>113</v>
      </c>
      <c r="C959" t="s">
        <v>113</v>
      </c>
      <c r="D959" t="s">
        <v>33</v>
      </c>
      <c r="E959" t="s">
        <v>34</v>
      </c>
      <c r="F959" t="str">
        <f>"0014582"</f>
        <v>0014582</v>
      </c>
      <c r="G959">
        <v>1</v>
      </c>
      <c r="H959" t="str">
        <f>"00000001"</f>
        <v>00000001</v>
      </c>
      <c r="I959" t="s">
        <v>35</v>
      </c>
      <c r="J959"/>
      <c r="K959">
        <v>16.95</v>
      </c>
      <c r="L959">
        <v>0.0</v>
      </c>
      <c r="M959"/>
      <c r="N959"/>
      <c r="O959">
        <v>3.05</v>
      </c>
      <c r="P959">
        <v>0.0</v>
      </c>
      <c r="Q959">
        <v>20.0</v>
      </c>
      <c r="R959"/>
      <c r="S959"/>
      <c r="T959"/>
      <c r="U959"/>
      <c r="V959"/>
      <c r="W959">
        <v>18</v>
      </c>
    </row>
    <row r="960" spans="1:23">
      <c r="A960"/>
      <c r="B960" t="s">
        <v>113</v>
      </c>
      <c r="C960" t="s">
        <v>113</v>
      </c>
      <c r="D960" t="s">
        <v>33</v>
      </c>
      <c r="E960" t="s">
        <v>34</v>
      </c>
      <c r="F960" t="str">
        <f>"0014583"</f>
        <v>0014583</v>
      </c>
      <c r="G960">
        <v>1</v>
      </c>
      <c r="H960" t="str">
        <f>"00000001"</f>
        <v>00000001</v>
      </c>
      <c r="I960" t="s">
        <v>35</v>
      </c>
      <c r="J960"/>
      <c r="K960">
        <v>20.34</v>
      </c>
      <c r="L960">
        <v>0.0</v>
      </c>
      <c r="M960"/>
      <c r="N960"/>
      <c r="O960">
        <v>3.66</v>
      </c>
      <c r="P960">
        <v>0.0</v>
      </c>
      <c r="Q960">
        <v>24.0</v>
      </c>
      <c r="R960"/>
      <c r="S960"/>
      <c r="T960"/>
      <c r="U960"/>
      <c r="V960"/>
      <c r="W960">
        <v>18</v>
      </c>
    </row>
    <row r="961" spans="1:23">
      <c r="A961"/>
      <c r="B961" t="s">
        <v>113</v>
      </c>
      <c r="C961" t="s">
        <v>113</v>
      </c>
      <c r="D961" t="s">
        <v>33</v>
      </c>
      <c r="E961" t="s">
        <v>34</v>
      </c>
      <c r="F961" t="str">
        <f>"0014584"</f>
        <v>0014584</v>
      </c>
      <c r="G961">
        <v>1</v>
      </c>
      <c r="H961" t="str">
        <f>"76350946"</f>
        <v>76350946</v>
      </c>
      <c r="I961" t="s">
        <v>116</v>
      </c>
      <c r="J961"/>
      <c r="K961">
        <v>35.59</v>
      </c>
      <c r="L961">
        <v>0.0</v>
      </c>
      <c r="M961"/>
      <c r="N961"/>
      <c r="O961">
        <v>6.41</v>
      </c>
      <c r="P961">
        <v>0.0</v>
      </c>
      <c r="Q961">
        <v>42.0</v>
      </c>
      <c r="R961"/>
      <c r="S961"/>
      <c r="T961"/>
      <c r="U961"/>
      <c r="V961"/>
      <c r="W961">
        <v>18</v>
      </c>
    </row>
    <row r="962" spans="1:23">
      <c r="A962"/>
      <c r="B962" t="s">
        <v>113</v>
      </c>
      <c r="C962" t="s">
        <v>113</v>
      </c>
      <c r="D962" t="s">
        <v>33</v>
      </c>
      <c r="E962" t="s">
        <v>34</v>
      </c>
      <c r="F962" t="str">
        <f>"0014585"</f>
        <v>0014585</v>
      </c>
      <c r="G962">
        <v>1</v>
      </c>
      <c r="H962" t="str">
        <f>"00000001"</f>
        <v>00000001</v>
      </c>
      <c r="I962" t="s">
        <v>35</v>
      </c>
      <c r="J962"/>
      <c r="K962">
        <v>15.25</v>
      </c>
      <c r="L962">
        <v>0.0</v>
      </c>
      <c r="M962"/>
      <c r="N962"/>
      <c r="O962">
        <v>2.75</v>
      </c>
      <c r="P962">
        <v>0.0</v>
      </c>
      <c r="Q962">
        <v>18.0</v>
      </c>
      <c r="R962"/>
      <c r="S962"/>
      <c r="T962"/>
      <c r="U962"/>
      <c r="V962"/>
      <c r="W962">
        <v>18</v>
      </c>
    </row>
    <row r="963" spans="1:23">
      <c r="A963"/>
      <c r="B963" t="s">
        <v>113</v>
      </c>
      <c r="C963" t="s">
        <v>113</v>
      </c>
      <c r="D963" t="s">
        <v>33</v>
      </c>
      <c r="E963" t="s">
        <v>34</v>
      </c>
      <c r="F963" t="str">
        <f>"0014586"</f>
        <v>0014586</v>
      </c>
      <c r="G963">
        <v>1</v>
      </c>
      <c r="H963" t="str">
        <f>"00000001"</f>
        <v>00000001</v>
      </c>
      <c r="I963" t="s">
        <v>35</v>
      </c>
      <c r="J963"/>
      <c r="K963">
        <v>110.59</v>
      </c>
      <c r="L963">
        <v>0.0</v>
      </c>
      <c r="M963"/>
      <c r="N963"/>
      <c r="O963">
        <v>19.91</v>
      </c>
      <c r="P963">
        <v>0.0</v>
      </c>
      <c r="Q963">
        <v>130.5</v>
      </c>
      <c r="R963"/>
      <c r="S963"/>
      <c r="T963"/>
      <c r="U963"/>
      <c r="V963"/>
      <c r="W963">
        <v>18</v>
      </c>
    </row>
    <row r="964" spans="1:23">
      <c r="A964"/>
      <c r="B964" t="s">
        <v>113</v>
      </c>
      <c r="C964" t="s">
        <v>113</v>
      </c>
      <c r="D964" t="s">
        <v>33</v>
      </c>
      <c r="E964" t="s">
        <v>34</v>
      </c>
      <c r="F964" t="str">
        <f>"0014587"</f>
        <v>0014587</v>
      </c>
      <c r="G964">
        <v>1</v>
      </c>
      <c r="H964" t="str">
        <f>"00000001"</f>
        <v>00000001</v>
      </c>
      <c r="I964" t="s">
        <v>35</v>
      </c>
      <c r="J964"/>
      <c r="K964">
        <v>78.81</v>
      </c>
      <c r="L964">
        <v>0.0</v>
      </c>
      <c r="M964"/>
      <c r="N964"/>
      <c r="O964">
        <v>14.19</v>
      </c>
      <c r="P964">
        <v>0.0</v>
      </c>
      <c r="Q964">
        <v>93.0</v>
      </c>
      <c r="R964"/>
      <c r="S964"/>
      <c r="T964"/>
      <c r="U964"/>
      <c r="V964"/>
      <c r="W964">
        <v>18</v>
      </c>
    </row>
    <row r="965" spans="1:23">
      <c r="A965"/>
      <c r="B965" t="s">
        <v>113</v>
      </c>
      <c r="C965" t="s">
        <v>113</v>
      </c>
      <c r="D965" t="s">
        <v>33</v>
      </c>
      <c r="E965" t="s">
        <v>34</v>
      </c>
      <c r="F965" t="str">
        <f>"0014588"</f>
        <v>0014588</v>
      </c>
      <c r="G965">
        <v>1</v>
      </c>
      <c r="H965" t="str">
        <f>"82934000"</f>
        <v>82934000</v>
      </c>
      <c r="I965" t="s">
        <v>117</v>
      </c>
      <c r="J965"/>
      <c r="K965">
        <v>25.42</v>
      </c>
      <c r="L965">
        <v>0.0</v>
      </c>
      <c r="M965"/>
      <c r="N965"/>
      <c r="O965">
        <v>4.58</v>
      </c>
      <c r="P965">
        <v>0.0</v>
      </c>
      <c r="Q965">
        <v>30.0</v>
      </c>
      <c r="R965"/>
      <c r="S965"/>
      <c r="T965"/>
      <c r="U965"/>
      <c r="V965"/>
      <c r="W965">
        <v>18</v>
      </c>
    </row>
    <row r="966" spans="1:23">
      <c r="A966"/>
      <c r="B966" t="s">
        <v>113</v>
      </c>
      <c r="C966" t="s">
        <v>113</v>
      </c>
      <c r="D966" t="s">
        <v>33</v>
      </c>
      <c r="E966" t="s">
        <v>34</v>
      </c>
      <c r="F966" t="str">
        <f>"0014589"</f>
        <v>0014589</v>
      </c>
      <c r="G966">
        <v>1</v>
      </c>
      <c r="H966" t="str">
        <f>"82934000"</f>
        <v>82934000</v>
      </c>
      <c r="I966" t="s">
        <v>117</v>
      </c>
      <c r="J966"/>
      <c r="K966">
        <v>2.88</v>
      </c>
      <c r="L966">
        <v>0.0</v>
      </c>
      <c r="M966"/>
      <c r="N966"/>
      <c r="O966">
        <v>0.52</v>
      </c>
      <c r="P966">
        <v>0.0</v>
      </c>
      <c r="Q966">
        <v>3.4</v>
      </c>
      <c r="R966"/>
      <c r="S966"/>
      <c r="T966"/>
      <c r="U966"/>
      <c r="V966"/>
      <c r="W966">
        <v>18</v>
      </c>
    </row>
    <row r="967" spans="1:23">
      <c r="A967"/>
      <c r="B967" t="s">
        <v>113</v>
      </c>
      <c r="C967" t="s">
        <v>113</v>
      </c>
      <c r="D967" t="s">
        <v>33</v>
      </c>
      <c r="E967" t="s">
        <v>34</v>
      </c>
      <c r="F967" t="str">
        <f>"0014590"</f>
        <v>0014590</v>
      </c>
      <c r="G967">
        <v>1</v>
      </c>
      <c r="H967" t="str">
        <f>"00000001"</f>
        <v>00000001</v>
      </c>
      <c r="I967" t="s">
        <v>35</v>
      </c>
      <c r="J967"/>
      <c r="K967">
        <v>11.86</v>
      </c>
      <c r="L967">
        <v>0.0</v>
      </c>
      <c r="M967"/>
      <c r="N967"/>
      <c r="O967">
        <v>2.14</v>
      </c>
      <c r="P967">
        <v>0.0</v>
      </c>
      <c r="Q967">
        <v>14.0</v>
      </c>
      <c r="R967"/>
      <c r="S967"/>
      <c r="T967"/>
      <c r="U967"/>
      <c r="V967"/>
      <c r="W967">
        <v>18</v>
      </c>
    </row>
    <row r="968" spans="1:23">
      <c r="A968"/>
      <c r="B968" t="s">
        <v>113</v>
      </c>
      <c r="C968" t="s">
        <v>113</v>
      </c>
      <c r="D968" t="s">
        <v>33</v>
      </c>
      <c r="E968" t="s">
        <v>34</v>
      </c>
      <c r="F968" t="str">
        <f>"0014591"</f>
        <v>0014591</v>
      </c>
      <c r="G968">
        <v>1</v>
      </c>
      <c r="H968" t="str">
        <f>"00000001"</f>
        <v>00000001</v>
      </c>
      <c r="I968" t="s">
        <v>35</v>
      </c>
      <c r="J968"/>
      <c r="K968">
        <v>4.24</v>
      </c>
      <c r="L968">
        <v>0.0</v>
      </c>
      <c r="M968"/>
      <c r="N968"/>
      <c r="O968">
        <v>0.76</v>
      </c>
      <c r="P968">
        <v>0.0</v>
      </c>
      <c r="Q968">
        <v>5.0</v>
      </c>
      <c r="R968"/>
      <c r="S968"/>
      <c r="T968"/>
      <c r="U968"/>
      <c r="V968"/>
      <c r="W968">
        <v>18</v>
      </c>
    </row>
    <row r="969" spans="1:23">
      <c r="A969"/>
      <c r="B969" t="s">
        <v>113</v>
      </c>
      <c r="C969" t="s">
        <v>113</v>
      </c>
      <c r="D969" t="s">
        <v>33</v>
      </c>
      <c r="E969" t="s">
        <v>34</v>
      </c>
      <c r="F969" t="str">
        <f>"0014592"</f>
        <v>0014592</v>
      </c>
      <c r="G969">
        <v>1</v>
      </c>
      <c r="H969" t="str">
        <f>"00000001"</f>
        <v>00000001</v>
      </c>
      <c r="I969" t="s">
        <v>35</v>
      </c>
      <c r="J969"/>
      <c r="K969">
        <v>3.39</v>
      </c>
      <c r="L969">
        <v>0.0</v>
      </c>
      <c r="M969"/>
      <c r="N969"/>
      <c r="O969">
        <v>0.61</v>
      </c>
      <c r="P969">
        <v>0.0</v>
      </c>
      <c r="Q969">
        <v>4.0</v>
      </c>
      <c r="R969"/>
      <c r="S969"/>
      <c r="T969"/>
      <c r="U969"/>
      <c r="V969"/>
      <c r="W969">
        <v>18</v>
      </c>
    </row>
    <row r="970" spans="1:23">
      <c r="A970"/>
      <c r="B970" t="s">
        <v>113</v>
      </c>
      <c r="C970" t="s">
        <v>113</v>
      </c>
      <c r="D970" t="s">
        <v>33</v>
      </c>
      <c r="E970" t="s">
        <v>34</v>
      </c>
      <c r="F970" t="str">
        <f>"0014593"</f>
        <v>0014593</v>
      </c>
      <c r="G970">
        <v>1</v>
      </c>
      <c r="H970" t="str">
        <f>"00000001"</f>
        <v>00000001</v>
      </c>
      <c r="I970" t="s">
        <v>35</v>
      </c>
      <c r="J970"/>
      <c r="K970">
        <v>61.02</v>
      </c>
      <c r="L970">
        <v>0.0</v>
      </c>
      <c r="M970"/>
      <c r="N970"/>
      <c r="O970">
        <v>10.98</v>
      </c>
      <c r="P970">
        <v>0.0</v>
      </c>
      <c r="Q970">
        <v>72.0</v>
      </c>
      <c r="R970"/>
      <c r="S970"/>
      <c r="T970"/>
      <c r="U970"/>
      <c r="V970"/>
      <c r="W970">
        <v>18</v>
      </c>
    </row>
    <row r="971" spans="1:23">
      <c r="A971"/>
      <c r="B971" t="s">
        <v>113</v>
      </c>
      <c r="C971" t="s">
        <v>113</v>
      </c>
      <c r="D971" t="s">
        <v>33</v>
      </c>
      <c r="E971" t="s">
        <v>34</v>
      </c>
      <c r="F971" t="str">
        <f>"0014594"</f>
        <v>0014594</v>
      </c>
      <c r="G971">
        <v>1</v>
      </c>
      <c r="H971" t="str">
        <f>"00000001"</f>
        <v>00000001</v>
      </c>
      <c r="I971" t="s">
        <v>35</v>
      </c>
      <c r="J971"/>
      <c r="K971">
        <v>25.42</v>
      </c>
      <c r="L971">
        <v>0.0</v>
      </c>
      <c r="M971"/>
      <c r="N971"/>
      <c r="O971">
        <v>4.58</v>
      </c>
      <c r="P971">
        <v>0.0</v>
      </c>
      <c r="Q971">
        <v>30.0</v>
      </c>
      <c r="R971"/>
      <c r="S971"/>
      <c r="T971"/>
      <c r="U971"/>
      <c r="V971"/>
      <c r="W971">
        <v>18</v>
      </c>
    </row>
    <row r="972" spans="1:23">
      <c r="A972"/>
      <c r="B972" t="s">
        <v>113</v>
      </c>
      <c r="C972" t="s">
        <v>113</v>
      </c>
      <c r="D972" t="s">
        <v>33</v>
      </c>
      <c r="E972" t="s">
        <v>34</v>
      </c>
      <c r="F972" t="str">
        <f>"0014595"</f>
        <v>0014595</v>
      </c>
      <c r="G972">
        <v>1</v>
      </c>
      <c r="H972" t="str">
        <f>"00000001"</f>
        <v>00000001</v>
      </c>
      <c r="I972" t="s">
        <v>35</v>
      </c>
      <c r="J972"/>
      <c r="K972">
        <v>3.39</v>
      </c>
      <c r="L972">
        <v>0.0</v>
      </c>
      <c r="M972"/>
      <c r="N972"/>
      <c r="O972">
        <v>0.61</v>
      </c>
      <c r="P972">
        <v>0.0</v>
      </c>
      <c r="Q972">
        <v>4.0</v>
      </c>
      <c r="R972"/>
      <c r="S972"/>
      <c r="T972"/>
      <c r="U972"/>
      <c r="V972"/>
      <c r="W972">
        <v>18</v>
      </c>
    </row>
    <row r="973" spans="1:23">
      <c r="A973"/>
      <c r="B973" t="s">
        <v>113</v>
      </c>
      <c r="C973" t="s">
        <v>113</v>
      </c>
      <c r="D973" t="s">
        <v>33</v>
      </c>
      <c r="E973" t="s">
        <v>34</v>
      </c>
      <c r="F973" t="str">
        <f>"0014596"</f>
        <v>0014596</v>
      </c>
      <c r="G973">
        <v>1</v>
      </c>
      <c r="H973" t="str">
        <f>"00000001"</f>
        <v>00000001</v>
      </c>
      <c r="I973" t="s">
        <v>35</v>
      </c>
      <c r="J973"/>
      <c r="K973">
        <v>20.34</v>
      </c>
      <c r="L973">
        <v>0.0</v>
      </c>
      <c r="M973"/>
      <c r="N973"/>
      <c r="O973">
        <v>3.66</v>
      </c>
      <c r="P973">
        <v>0.0</v>
      </c>
      <c r="Q973">
        <v>24.0</v>
      </c>
      <c r="R973"/>
      <c r="S973"/>
      <c r="T973"/>
      <c r="U973"/>
      <c r="V973"/>
      <c r="W973">
        <v>18</v>
      </c>
    </row>
    <row r="974" spans="1:23">
      <c r="A974"/>
      <c r="B974" t="s">
        <v>113</v>
      </c>
      <c r="C974" t="s">
        <v>113</v>
      </c>
      <c r="D974" t="s">
        <v>33</v>
      </c>
      <c r="E974" t="s">
        <v>34</v>
      </c>
      <c r="F974" t="str">
        <f>"0014597"</f>
        <v>0014597</v>
      </c>
      <c r="G974">
        <v>1</v>
      </c>
      <c r="H974" t="str">
        <f>"00000001"</f>
        <v>00000001</v>
      </c>
      <c r="I974" t="s">
        <v>35</v>
      </c>
      <c r="J974"/>
      <c r="K974">
        <v>6.36</v>
      </c>
      <c r="L974">
        <v>0.0</v>
      </c>
      <c r="M974"/>
      <c r="N974"/>
      <c r="O974">
        <v>1.14</v>
      </c>
      <c r="P974">
        <v>0.0</v>
      </c>
      <c r="Q974">
        <v>7.5</v>
      </c>
      <c r="R974"/>
      <c r="S974"/>
      <c r="T974"/>
      <c r="U974"/>
      <c r="V974"/>
      <c r="W974">
        <v>18</v>
      </c>
    </row>
    <row r="975" spans="1:23">
      <c r="A975"/>
      <c r="B975" t="s">
        <v>113</v>
      </c>
      <c r="C975" t="s">
        <v>113</v>
      </c>
      <c r="D975" t="s">
        <v>33</v>
      </c>
      <c r="E975" t="s">
        <v>34</v>
      </c>
      <c r="F975" t="str">
        <f>"0014598"</f>
        <v>0014598</v>
      </c>
      <c r="G975">
        <v>1</v>
      </c>
      <c r="H975" t="str">
        <f>"00000001"</f>
        <v>00000001</v>
      </c>
      <c r="I975" t="s">
        <v>35</v>
      </c>
      <c r="J975"/>
      <c r="K975">
        <v>3.39</v>
      </c>
      <c r="L975">
        <v>0.0</v>
      </c>
      <c r="M975"/>
      <c r="N975"/>
      <c r="O975">
        <v>0.61</v>
      </c>
      <c r="P975">
        <v>0.0</v>
      </c>
      <c r="Q975">
        <v>4.0</v>
      </c>
      <c r="R975"/>
      <c r="S975"/>
      <c r="T975"/>
      <c r="U975"/>
      <c r="V975"/>
      <c r="W975">
        <v>18</v>
      </c>
    </row>
    <row r="976" spans="1:23">
      <c r="A976"/>
      <c r="B976" t="s">
        <v>113</v>
      </c>
      <c r="C976" t="s">
        <v>113</v>
      </c>
      <c r="D976" t="s">
        <v>33</v>
      </c>
      <c r="E976" t="s">
        <v>34</v>
      </c>
      <c r="F976" t="str">
        <f>"0014599"</f>
        <v>0014599</v>
      </c>
      <c r="G976">
        <v>6</v>
      </c>
      <c r="H976" t="str">
        <f>"20608473174"</f>
        <v>20608473174</v>
      </c>
      <c r="I976" t="s">
        <v>82</v>
      </c>
      <c r="J976"/>
      <c r="K976">
        <v>34.32</v>
      </c>
      <c r="L976">
        <v>0.0</v>
      </c>
      <c r="M976"/>
      <c r="N976"/>
      <c r="O976">
        <v>6.18</v>
      </c>
      <c r="P976">
        <v>0.0</v>
      </c>
      <c r="Q976">
        <v>40.5</v>
      </c>
      <c r="R976"/>
      <c r="S976"/>
      <c r="T976"/>
      <c r="U976"/>
      <c r="V976"/>
      <c r="W976">
        <v>18</v>
      </c>
    </row>
    <row r="977" spans="1:23">
      <c r="A977"/>
      <c r="B977" t="s">
        <v>113</v>
      </c>
      <c r="C977" t="s">
        <v>113</v>
      </c>
      <c r="D977" t="s">
        <v>33</v>
      </c>
      <c r="E977" t="s">
        <v>34</v>
      </c>
      <c r="F977" t="str">
        <f>"0014600"</f>
        <v>0014600</v>
      </c>
      <c r="G977">
        <v>1</v>
      </c>
      <c r="H977" t="str">
        <f>"00000001"</f>
        <v>00000001</v>
      </c>
      <c r="I977" t="s">
        <v>35</v>
      </c>
      <c r="J977"/>
      <c r="K977">
        <v>11.86</v>
      </c>
      <c r="L977">
        <v>0.0</v>
      </c>
      <c r="M977"/>
      <c r="N977"/>
      <c r="O977">
        <v>2.14</v>
      </c>
      <c r="P977">
        <v>0.0</v>
      </c>
      <c r="Q977">
        <v>14.0</v>
      </c>
      <c r="R977"/>
      <c r="S977"/>
      <c r="T977"/>
      <c r="U977"/>
      <c r="V977"/>
      <c r="W977">
        <v>18</v>
      </c>
    </row>
    <row r="978" spans="1:23">
      <c r="A978"/>
      <c r="B978" t="s">
        <v>113</v>
      </c>
      <c r="C978" t="s">
        <v>113</v>
      </c>
      <c r="D978" t="s">
        <v>33</v>
      </c>
      <c r="E978" t="s">
        <v>34</v>
      </c>
      <c r="F978" t="str">
        <f>"0014601"</f>
        <v>0014601</v>
      </c>
      <c r="G978">
        <v>1</v>
      </c>
      <c r="H978" t="str">
        <f>"00000001"</f>
        <v>00000001</v>
      </c>
      <c r="I978" t="s">
        <v>35</v>
      </c>
      <c r="J978"/>
      <c r="K978">
        <v>8.47</v>
      </c>
      <c r="L978">
        <v>0.0</v>
      </c>
      <c r="M978"/>
      <c r="N978"/>
      <c r="O978">
        <v>1.53</v>
      </c>
      <c r="P978">
        <v>0.0</v>
      </c>
      <c r="Q978">
        <v>10.0</v>
      </c>
      <c r="R978"/>
      <c r="S978"/>
      <c r="T978"/>
      <c r="U978"/>
      <c r="V978"/>
      <c r="W978">
        <v>18</v>
      </c>
    </row>
    <row r="979" spans="1:23">
      <c r="A979"/>
      <c r="B979" t="s">
        <v>113</v>
      </c>
      <c r="C979" t="s">
        <v>113</v>
      </c>
      <c r="D979" t="s">
        <v>33</v>
      </c>
      <c r="E979" t="s">
        <v>34</v>
      </c>
      <c r="F979" t="str">
        <f>"0014602"</f>
        <v>0014602</v>
      </c>
      <c r="G979">
        <v>1</v>
      </c>
      <c r="H979" t="str">
        <f>"00000001"</f>
        <v>00000001</v>
      </c>
      <c r="I979" t="s">
        <v>35</v>
      </c>
      <c r="J979"/>
      <c r="K979">
        <v>5.08</v>
      </c>
      <c r="L979">
        <v>0.0</v>
      </c>
      <c r="M979"/>
      <c r="N979"/>
      <c r="O979">
        <v>0.92</v>
      </c>
      <c r="P979">
        <v>0.0</v>
      </c>
      <c r="Q979">
        <v>6.0</v>
      </c>
      <c r="R979"/>
      <c r="S979"/>
      <c r="T979"/>
      <c r="U979"/>
      <c r="V979"/>
      <c r="W979">
        <v>18</v>
      </c>
    </row>
    <row r="980" spans="1:23">
      <c r="A980"/>
      <c r="B980" t="s">
        <v>113</v>
      </c>
      <c r="C980" t="s">
        <v>113</v>
      </c>
      <c r="D980" t="s">
        <v>33</v>
      </c>
      <c r="E980" t="s">
        <v>34</v>
      </c>
      <c r="F980" t="str">
        <f>"0014603"</f>
        <v>0014603</v>
      </c>
      <c r="G980">
        <v>1</v>
      </c>
      <c r="H980" t="str">
        <f>"00000001"</f>
        <v>00000001</v>
      </c>
      <c r="I980" t="s">
        <v>35</v>
      </c>
      <c r="J980"/>
      <c r="K980">
        <v>12.71</v>
      </c>
      <c r="L980">
        <v>0.0</v>
      </c>
      <c r="M980"/>
      <c r="N980"/>
      <c r="O980">
        <v>2.29</v>
      </c>
      <c r="P980">
        <v>0.0</v>
      </c>
      <c r="Q980">
        <v>15.0</v>
      </c>
      <c r="R980"/>
      <c r="S980"/>
      <c r="T980"/>
      <c r="U980"/>
      <c r="V980"/>
      <c r="W980">
        <v>18</v>
      </c>
    </row>
    <row r="981" spans="1:23">
      <c r="A981"/>
      <c r="B981" t="s">
        <v>113</v>
      </c>
      <c r="C981" t="s">
        <v>113</v>
      </c>
      <c r="D981" t="s">
        <v>33</v>
      </c>
      <c r="E981" t="s">
        <v>34</v>
      </c>
      <c r="F981" t="str">
        <f>"0014604"</f>
        <v>0014604</v>
      </c>
      <c r="G981">
        <v>1</v>
      </c>
      <c r="H981" t="str">
        <f>"00000001"</f>
        <v>00000001</v>
      </c>
      <c r="I981" t="s">
        <v>35</v>
      </c>
      <c r="J981"/>
      <c r="K981">
        <v>4.24</v>
      </c>
      <c r="L981">
        <v>0.0</v>
      </c>
      <c r="M981"/>
      <c r="N981"/>
      <c r="O981">
        <v>0.76</v>
      </c>
      <c r="P981">
        <v>0.0</v>
      </c>
      <c r="Q981">
        <v>5.0</v>
      </c>
      <c r="R981"/>
      <c r="S981"/>
      <c r="T981"/>
      <c r="U981"/>
      <c r="V981"/>
      <c r="W981">
        <v>18</v>
      </c>
    </row>
    <row r="982" spans="1:23">
      <c r="A982"/>
      <c r="B982" t="s">
        <v>113</v>
      </c>
      <c r="C982" t="s">
        <v>113</v>
      </c>
      <c r="D982" t="s">
        <v>33</v>
      </c>
      <c r="E982" t="s">
        <v>34</v>
      </c>
      <c r="F982" t="str">
        <f>"0014605"</f>
        <v>0014605</v>
      </c>
      <c r="G982">
        <v>1</v>
      </c>
      <c r="H982" t="str">
        <f>"00000001"</f>
        <v>00000001</v>
      </c>
      <c r="I982" t="s">
        <v>35</v>
      </c>
      <c r="J982"/>
      <c r="K982">
        <v>59.32</v>
      </c>
      <c r="L982">
        <v>0.0</v>
      </c>
      <c r="M982"/>
      <c r="N982"/>
      <c r="O982">
        <v>10.68</v>
      </c>
      <c r="P982">
        <v>0.0</v>
      </c>
      <c r="Q982">
        <v>70.0</v>
      </c>
      <c r="R982"/>
      <c r="S982"/>
      <c r="T982"/>
      <c r="U982"/>
      <c r="V982"/>
      <c r="W982">
        <v>18</v>
      </c>
    </row>
    <row r="983" spans="1:23">
      <c r="A983"/>
      <c r="B983" t="s">
        <v>113</v>
      </c>
      <c r="C983" t="s">
        <v>113</v>
      </c>
      <c r="D983" t="s">
        <v>33</v>
      </c>
      <c r="E983" t="s">
        <v>34</v>
      </c>
      <c r="F983" t="str">
        <f>"0014606"</f>
        <v>0014606</v>
      </c>
      <c r="G983">
        <v>1</v>
      </c>
      <c r="H983" t="str">
        <f>"00000001"</f>
        <v>00000001</v>
      </c>
      <c r="I983" t="s">
        <v>35</v>
      </c>
      <c r="J983"/>
      <c r="K983">
        <v>16.95</v>
      </c>
      <c r="L983">
        <v>0.0</v>
      </c>
      <c r="M983"/>
      <c r="N983"/>
      <c r="O983">
        <v>3.05</v>
      </c>
      <c r="P983">
        <v>0.0</v>
      </c>
      <c r="Q983">
        <v>20.0</v>
      </c>
      <c r="R983"/>
      <c r="S983"/>
      <c r="T983"/>
      <c r="U983"/>
      <c r="V983"/>
      <c r="W983">
        <v>18</v>
      </c>
    </row>
    <row r="984" spans="1:23">
      <c r="A984"/>
      <c r="B984" t="s">
        <v>113</v>
      </c>
      <c r="C984" t="s">
        <v>113</v>
      </c>
      <c r="D984" t="s">
        <v>33</v>
      </c>
      <c r="E984" t="s">
        <v>34</v>
      </c>
      <c r="F984" t="str">
        <f>"0014607"</f>
        <v>0014607</v>
      </c>
      <c r="G984">
        <v>1</v>
      </c>
      <c r="H984" t="str">
        <f>"00000001"</f>
        <v>00000001</v>
      </c>
      <c r="I984" t="s">
        <v>35</v>
      </c>
      <c r="J984"/>
      <c r="K984">
        <v>9.32</v>
      </c>
      <c r="L984">
        <v>0.0</v>
      </c>
      <c r="M984"/>
      <c r="N984"/>
      <c r="O984">
        <v>1.68</v>
      </c>
      <c r="P984">
        <v>0.0</v>
      </c>
      <c r="Q984">
        <v>11.0</v>
      </c>
      <c r="R984"/>
      <c r="S984"/>
      <c r="T984"/>
      <c r="U984"/>
      <c r="V984"/>
      <c r="W984">
        <v>18</v>
      </c>
    </row>
    <row r="985" spans="1:23">
      <c r="A985"/>
      <c r="B985" t="s">
        <v>113</v>
      </c>
      <c r="C985" t="s">
        <v>113</v>
      </c>
      <c r="D985" t="s">
        <v>33</v>
      </c>
      <c r="E985" t="s">
        <v>34</v>
      </c>
      <c r="F985" t="str">
        <f>"0014608"</f>
        <v>0014608</v>
      </c>
      <c r="G985">
        <v>1</v>
      </c>
      <c r="H985" t="str">
        <f>"00000001"</f>
        <v>00000001</v>
      </c>
      <c r="I985" t="s">
        <v>35</v>
      </c>
      <c r="J985"/>
      <c r="K985">
        <v>27.12</v>
      </c>
      <c r="L985">
        <v>0.0</v>
      </c>
      <c r="M985"/>
      <c r="N985"/>
      <c r="O985">
        <v>4.88</v>
      </c>
      <c r="P985">
        <v>0.0</v>
      </c>
      <c r="Q985">
        <v>32.0</v>
      </c>
      <c r="R985"/>
      <c r="S985"/>
      <c r="T985"/>
      <c r="U985"/>
      <c r="V985"/>
      <c r="W985">
        <v>18</v>
      </c>
    </row>
    <row r="986" spans="1:23">
      <c r="A986"/>
      <c r="B986" t="s">
        <v>113</v>
      </c>
      <c r="C986" t="s">
        <v>113</v>
      </c>
      <c r="D986" t="s">
        <v>33</v>
      </c>
      <c r="E986" t="s">
        <v>34</v>
      </c>
      <c r="F986" t="str">
        <f>"0014609"</f>
        <v>0014609</v>
      </c>
      <c r="G986">
        <v>1</v>
      </c>
      <c r="H986" t="str">
        <f>"00000001"</f>
        <v>00000001</v>
      </c>
      <c r="I986" t="s">
        <v>35</v>
      </c>
      <c r="J986"/>
      <c r="K986">
        <v>108.47</v>
      </c>
      <c r="L986">
        <v>0.0</v>
      </c>
      <c r="M986"/>
      <c r="N986"/>
      <c r="O986">
        <v>19.53</v>
      </c>
      <c r="P986">
        <v>0.0</v>
      </c>
      <c r="Q986">
        <v>128.0</v>
      </c>
      <c r="R986"/>
      <c r="S986"/>
      <c r="T986"/>
      <c r="U986"/>
      <c r="V986"/>
      <c r="W986">
        <v>18</v>
      </c>
    </row>
    <row r="987" spans="1:23">
      <c r="A987"/>
      <c r="B987" t="s">
        <v>113</v>
      </c>
      <c r="C987" t="s">
        <v>113</v>
      </c>
      <c r="D987" t="s">
        <v>33</v>
      </c>
      <c r="E987" t="s">
        <v>34</v>
      </c>
      <c r="F987" t="str">
        <f>"0014610"</f>
        <v>0014610</v>
      </c>
      <c r="G987">
        <v>1</v>
      </c>
      <c r="H987" t="str">
        <f>"00000001"</f>
        <v>00000001</v>
      </c>
      <c r="I987" t="s">
        <v>35</v>
      </c>
      <c r="J987"/>
      <c r="K987">
        <v>40.68</v>
      </c>
      <c r="L987">
        <v>0.0</v>
      </c>
      <c r="M987"/>
      <c r="N987"/>
      <c r="O987">
        <v>7.32</v>
      </c>
      <c r="P987">
        <v>0.0</v>
      </c>
      <c r="Q987">
        <v>48.0</v>
      </c>
      <c r="R987"/>
      <c r="S987"/>
      <c r="T987"/>
      <c r="U987"/>
      <c r="V987"/>
      <c r="W987">
        <v>18</v>
      </c>
    </row>
    <row r="988" spans="1:23">
      <c r="A988"/>
      <c r="B988" t="s">
        <v>113</v>
      </c>
      <c r="C988" t="s">
        <v>113</v>
      </c>
      <c r="D988" t="s">
        <v>33</v>
      </c>
      <c r="E988" t="s">
        <v>34</v>
      </c>
      <c r="F988" t="str">
        <f>"0014611"</f>
        <v>0014611</v>
      </c>
      <c r="G988">
        <v>1</v>
      </c>
      <c r="H988" t="str">
        <f>"00000001"</f>
        <v>00000001</v>
      </c>
      <c r="I988" t="s">
        <v>35</v>
      </c>
      <c r="J988"/>
      <c r="K988">
        <v>13.56</v>
      </c>
      <c r="L988">
        <v>0.0</v>
      </c>
      <c r="M988"/>
      <c r="N988"/>
      <c r="O988">
        <v>2.44</v>
      </c>
      <c r="P988">
        <v>0.0</v>
      </c>
      <c r="Q988">
        <v>16.0</v>
      </c>
      <c r="R988"/>
      <c r="S988"/>
      <c r="T988"/>
      <c r="U988"/>
      <c r="V988"/>
      <c r="W988">
        <v>18</v>
      </c>
    </row>
    <row r="989" spans="1:23">
      <c r="A989"/>
      <c r="B989" t="s">
        <v>113</v>
      </c>
      <c r="C989" t="s">
        <v>113</v>
      </c>
      <c r="D989" t="s">
        <v>33</v>
      </c>
      <c r="E989" t="s">
        <v>34</v>
      </c>
      <c r="F989" t="str">
        <f>"0014612"</f>
        <v>0014612</v>
      </c>
      <c r="G989">
        <v>1</v>
      </c>
      <c r="H989" t="str">
        <f>"00000001"</f>
        <v>00000001</v>
      </c>
      <c r="I989" t="s">
        <v>35</v>
      </c>
      <c r="J989"/>
      <c r="K989">
        <v>25.42</v>
      </c>
      <c r="L989">
        <v>0.0</v>
      </c>
      <c r="M989"/>
      <c r="N989"/>
      <c r="O989">
        <v>4.58</v>
      </c>
      <c r="P989">
        <v>0.0</v>
      </c>
      <c r="Q989">
        <v>30.0</v>
      </c>
      <c r="R989"/>
      <c r="S989"/>
      <c r="T989"/>
      <c r="U989"/>
      <c r="V989"/>
      <c r="W989">
        <v>18</v>
      </c>
    </row>
    <row r="990" spans="1:23">
      <c r="A990"/>
      <c r="B990" t="s">
        <v>113</v>
      </c>
      <c r="C990" t="s">
        <v>113</v>
      </c>
      <c r="D990" t="s">
        <v>33</v>
      </c>
      <c r="E990" t="s">
        <v>34</v>
      </c>
      <c r="F990" t="str">
        <f>"0014613"</f>
        <v>0014613</v>
      </c>
      <c r="G990">
        <v>1</v>
      </c>
      <c r="H990" t="str">
        <f>"00000001"</f>
        <v>00000001</v>
      </c>
      <c r="I990" t="s">
        <v>35</v>
      </c>
      <c r="J990"/>
      <c r="K990">
        <v>31.36</v>
      </c>
      <c r="L990">
        <v>0.0</v>
      </c>
      <c r="M990"/>
      <c r="N990"/>
      <c r="O990">
        <v>5.64</v>
      </c>
      <c r="P990">
        <v>0.0</v>
      </c>
      <c r="Q990">
        <v>37.0</v>
      </c>
      <c r="R990"/>
      <c r="S990"/>
      <c r="T990"/>
      <c r="U990"/>
      <c r="V990"/>
      <c r="W990">
        <v>18</v>
      </c>
    </row>
    <row r="991" spans="1:23">
      <c r="A991"/>
      <c r="B991" t="s">
        <v>113</v>
      </c>
      <c r="C991" t="s">
        <v>113</v>
      </c>
      <c r="D991" t="s">
        <v>33</v>
      </c>
      <c r="E991" t="s">
        <v>34</v>
      </c>
      <c r="F991" t="str">
        <f>"0014614"</f>
        <v>0014614</v>
      </c>
      <c r="G991">
        <v>1</v>
      </c>
      <c r="H991" t="str">
        <f>"00000001"</f>
        <v>00000001</v>
      </c>
      <c r="I991" t="s">
        <v>35</v>
      </c>
      <c r="J991"/>
      <c r="K991">
        <v>21.19</v>
      </c>
      <c r="L991">
        <v>0.0</v>
      </c>
      <c r="M991"/>
      <c r="N991"/>
      <c r="O991">
        <v>3.81</v>
      </c>
      <c r="P991">
        <v>0.0</v>
      </c>
      <c r="Q991">
        <v>25.0</v>
      </c>
      <c r="R991"/>
      <c r="S991"/>
      <c r="T991"/>
      <c r="U991"/>
      <c r="V991"/>
      <c r="W991">
        <v>18</v>
      </c>
    </row>
    <row r="992" spans="1:23">
      <c r="A992"/>
      <c r="B992" t="s">
        <v>113</v>
      </c>
      <c r="C992" t="s">
        <v>113</v>
      </c>
      <c r="D992" t="s">
        <v>33</v>
      </c>
      <c r="E992" t="s">
        <v>34</v>
      </c>
      <c r="F992" t="str">
        <f>"0014615"</f>
        <v>0014615</v>
      </c>
      <c r="G992">
        <v>1</v>
      </c>
      <c r="H992" t="str">
        <f>"00000001"</f>
        <v>00000001</v>
      </c>
      <c r="I992" t="s">
        <v>35</v>
      </c>
      <c r="J992"/>
      <c r="K992">
        <v>15.25</v>
      </c>
      <c r="L992">
        <v>0.0</v>
      </c>
      <c r="M992"/>
      <c r="N992"/>
      <c r="O992">
        <v>2.75</v>
      </c>
      <c r="P992">
        <v>0.0</v>
      </c>
      <c r="Q992">
        <v>18.0</v>
      </c>
      <c r="R992"/>
      <c r="S992"/>
      <c r="T992"/>
      <c r="U992"/>
      <c r="V992"/>
      <c r="W992">
        <v>18</v>
      </c>
    </row>
    <row r="993" spans="1:23">
      <c r="A993"/>
      <c r="B993" t="s">
        <v>113</v>
      </c>
      <c r="C993" t="s">
        <v>113</v>
      </c>
      <c r="D993" t="s">
        <v>33</v>
      </c>
      <c r="E993" t="s">
        <v>34</v>
      </c>
      <c r="F993" t="str">
        <f>"0014616"</f>
        <v>0014616</v>
      </c>
      <c r="G993">
        <v>1</v>
      </c>
      <c r="H993" t="str">
        <f>"00000001"</f>
        <v>00000001</v>
      </c>
      <c r="I993" t="s">
        <v>35</v>
      </c>
      <c r="J993"/>
      <c r="K993">
        <v>11.02</v>
      </c>
      <c r="L993">
        <v>0.0</v>
      </c>
      <c r="M993"/>
      <c r="N993"/>
      <c r="O993">
        <v>1.98</v>
      </c>
      <c r="P993">
        <v>0.0</v>
      </c>
      <c r="Q993">
        <v>13.0</v>
      </c>
      <c r="R993"/>
      <c r="S993"/>
      <c r="T993"/>
      <c r="U993"/>
      <c r="V993"/>
      <c r="W993">
        <v>18</v>
      </c>
    </row>
    <row r="994" spans="1:23">
      <c r="A994"/>
      <c r="B994" t="s">
        <v>118</v>
      </c>
      <c r="C994" t="s">
        <v>118</v>
      </c>
      <c r="D994" t="s">
        <v>40</v>
      </c>
      <c r="E994" t="s">
        <v>41</v>
      </c>
      <c r="F994" t="str">
        <f>"0001291"</f>
        <v>0001291</v>
      </c>
      <c r="G994">
        <v>6</v>
      </c>
      <c r="H994" t="str">
        <f>"20495975097"</f>
        <v>20495975097</v>
      </c>
      <c r="I994" t="s">
        <v>119</v>
      </c>
      <c r="J994"/>
      <c r="K994">
        <v>12.71</v>
      </c>
      <c r="L994">
        <v>0.0</v>
      </c>
      <c r="M994"/>
      <c r="N994"/>
      <c r="O994">
        <v>2.29</v>
      </c>
      <c r="P994">
        <v>0.0</v>
      </c>
      <c r="Q994">
        <v>15.0</v>
      </c>
      <c r="R994"/>
      <c r="S994"/>
      <c r="T994"/>
      <c r="U994"/>
      <c r="V994"/>
      <c r="W994">
        <v>18</v>
      </c>
    </row>
    <row r="995" spans="1:23">
      <c r="A995"/>
      <c r="B995" t="s">
        <v>118</v>
      </c>
      <c r="C995" t="s">
        <v>118</v>
      </c>
      <c r="D995" t="s">
        <v>33</v>
      </c>
      <c r="E995" t="s">
        <v>34</v>
      </c>
      <c r="F995" t="str">
        <f>"0014617"</f>
        <v>0014617</v>
      </c>
      <c r="G995">
        <v>6</v>
      </c>
      <c r="H995" t="str">
        <f>"20608473174"</f>
        <v>20608473174</v>
      </c>
      <c r="I995" t="s">
        <v>82</v>
      </c>
      <c r="J995"/>
      <c r="K995">
        <v>237.29</v>
      </c>
      <c r="L995">
        <v>0.0</v>
      </c>
      <c r="M995"/>
      <c r="N995"/>
      <c r="O995">
        <v>42.71</v>
      </c>
      <c r="P995">
        <v>0.0</v>
      </c>
      <c r="Q995">
        <v>280.0</v>
      </c>
      <c r="R995"/>
      <c r="S995"/>
      <c r="T995"/>
      <c r="U995"/>
      <c r="V995"/>
      <c r="W995">
        <v>18</v>
      </c>
    </row>
    <row r="996" spans="1:23">
      <c r="A996"/>
      <c r="B996" t="s">
        <v>118</v>
      </c>
      <c r="C996" t="s">
        <v>118</v>
      </c>
      <c r="D996" t="s">
        <v>33</v>
      </c>
      <c r="E996" t="s">
        <v>34</v>
      </c>
      <c r="F996" t="str">
        <f>"0014618"</f>
        <v>0014618</v>
      </c>
      <c r="G996">
        <v>1</v>
      </c>
      <c r="H996" t="str">
        <f>"00000001"</f>
        <v>00000001</v>
      </c>
      <c r="I996" t="s">
        <v>35</v>
      </c>
      <c r="J996"/>
      <c r="K996">
        <v>8.47</v>
      </c>
      <c r="L996">
        <v>0.0</v>
      </c>
      <c r="M996"/>
      <c r="N996"/>
      <c r="O996">
        <v>1.53</v>
      </c>
      <c r="P996">
        <v>0.0</v>
      </c>
      <c r="Q996">
        <v>10.0</v>
      </c>
      <c r="R996"/>
      <c r="S996"/>
      <c r="T996"/>
      <c r="U996"/>
      <c r="V996"/>
      <c r="W996">
        <v>18</v>
      </c>
    </row>
    <row r="997" spans="1:23">
      <c r="A997"/>
      <c r="B997" t="s">
        <v>118</v>
      </c>
      <c r="C997" t="s">
        <v>118</v>
      </c>
      <c r="D997" t="s">
        <v>33</v>
      </c>
      <c r="E997" t="s">
        <v>34</v>
      </c>
      <c r="F997" t="str">
        <f>"0014619"</f>
        <v>0014619</v>
      </c>
      <c r="G997">
        <v>1</v>
      </c>
      <c r="H997" t="str">
        <f>"00000001"</f>
        <v>00000001</v>
      </c>
      <c r="I997" t="s">
        <v>35</v>
      </c>
      <c r="J997"/>
      <c r="K997">
        <v>13.56</v>
      </c>
      <c r="L997">
        <v>0.0</v>
      </c>
      <c r="M997"/>
      <c r="N997"/>
      <c r="O997">
        <v>2.44</v>
      </c>
      <c r="P997">
        <v>0.0</v>
      </c>
      <c r="Q997">
        <v>16.0</v>
      </c>
      <c r="R997"/>
      <c r="S997"/>
      <c r="T997"/>
      <c r="U997"/>
      <c r="V997"/>
      <c r="W997">
        <v>18</v>
      </c>
    </row>
    <row r="998" spans="1:23">
      <c r="A998"/>
      <c r="B998" t="s">
        <v>118</v>
      </c>
      <c r="C998" t="s">
        <v>118</v>
      </c>
      <c r="D998" t="s">
        <v>33</v>
      </c>
      <c r="E998" t="s">
        <v>34</v>
      </c>
      <c r="F998" t="str">
        <f>"0014620"</f>
        <v>0014620</v>
      </c>
      <c r="G998">
        <v>1</v>
      </c>
      <c r="H998" t="str">
        <f>"00000001"</f>
        <v>00000001</v>
      </c>
      <c r="I998" t="s">
        <v>35</v>
      </c>
      <c r="J998"/>
      <c r="K998">
        <v>5.08</v>
      </c>
      <c r="L998">
        <v>0.0</v>
      </c>
      <c r="M998"/>
      <c r="N998"/>
      <c r="O998">
        <v>0.92</v>
      </c>
      <c r="P998">
        <v>0.0</v>
      </c>
      <c r="Q998">
        <v>6.0</v>
      </c>
      <c r="R998"/>
      <c r="S998"/>
      <c r="T998"/>
      <c r="U998"/>
      <c r="V998"/>
      <c r="W998">
        <v>18</v>
      </c>
    </row>
    <row r="999" spans="1:23">
      <c r="A999"/>
      <c r="B999" t="s">
        <v>118</v>
      </c>
      <c r="C999" t="s">
        <v>118</v>
      </c>
      <c r="D999" t="s">
        <v>33</v>
      </c>
      <c r="E999" t="s">
        <v>34</v>
      </c>
      <c r="F999" t="str">
        <f>"0014621"</f>
        <v>0014621</v>
      </c>
      <c r="G999">
        <v>1</v>
      </c>
      <c r="H999" t="str">
        <f>"00000001"</f>
        <v>00000001</v>
      </c>
      <c r="I999" t="s">
        <v>35</v>
      </c>
      <c r="J999"/>
      <c r="K999">
        <v>22.03</v>
      </c>
      <c r="L999">
        <v>0.0</v>
      </c>
      <c r="M999"/>
      <c r="N999"/>
      <c r="O999">
        <v>3.97</v>
      </c>
      <c r="P999">
        <v>0.0</v>
      </c>
      <c r="Q999">
        <v>26.0</v>
      </c>
      <c r="R999"/>
      <c r="S999"/>
      <c r="T999"/>
      <c r="U999"/>
      <c r="V999"/>
      <c r="W999">
        <v>18</v>
      </c>
    </row>
    <row r="1000" spans="1:23">
      <c r="A1000"/>
      <c r="B1000" t="s">
        <v>118</v>
      </c>
      <c r="C1000" t="s">
        <v>118</v>
      </c>
      <c r="D1000" t="s">
        <v>33</v>
      </c>
      <c r="E1000" t="s">
        <v>34</v>
      </c>
      <c r="F1000" t="str">
        <f>"0014622"</f>
        <v>0014622</v>
      </c>
      <c r="G1000">
        <v>1</v>
      </c>
      <c r="H1000" t="str">
        <f>"00000001"</f>
        <v>00000001</v>
      </c>
      <c r="I1000" t="s">
        <v>35</v>
      </c>
      <c r="J1000"/>
      <c r="K1000">
        <v>5.93</v>
      </c>
      <c r="L1000">
        <v>0.0</v>
      </c>
      <c r="M1000"/>
      <c r="N1000"/>
      <c r="O1000">
        <v>1.07</v>
      </c>
      <c r="P1000">
        <v>0.0</v>
      </c>
      <c r="Q1000">
        <v>7.0</v>
      </c>
      <c r="R1000"/>
      <c r="S1000"/>
      <c r="T1000"/>
      <c r="U1000"/>
      <c r="V1000"/>
      <c r="W1000">
        <v>18</v>
      </c>
    </row>
    <row r="1001" spans="1:23">
      <c r="A1001"/>
      <c r="B1001" t="s">
        <v>118</v>
      </c>
      <c r="C1001" t="s">
        <v>118</v>
      </c>
      <c r="D1001" t="s">
        <v>33</v>
      </c>
      <c r="E1001" t="s">
        <v>34</v>
      </c>
      <c r="F1001" t="str">
        <f>"0014623"</f>
        <v>0014623</v>
      </c>
      <c r="G1001">
        <v>1</v>
      </c>
      <c r="H1001" t="str">
        <f>"00000001"</f>
        <v>00000001</v>
      </c>
      <c r="I1001" t="s">
        <v>35</v>
      </c>
      <c r="J1001"/>
      <c r="K1001">
        <v>8.47</v>
      </c>
      <c r="L1001">
        <v>0.0</v>
      </c>
      <c r="M1001"/>
      <c r="N1001"/>
      <c r="O1001">
        <v>1.53</v>
      </c>
      <c r="P1001">
        <v>0.0</v>
      </c>
      <c r="Q1001">
        <v>10.0</v>
      </c>
      <c r="R1001"/>
      <c r="S1001"/>
      <c r="T1001"/>
      <c r="U1001"/>
      <c r="V1001"/>
      <c r="W1001">
        <v>18</v>
      </c>
    </row>
    <row r="1002" spans="1:23">
      <c r="A1002"/>
      <c r="B1002" t="s">
        <v>118</v>
      </c>
      <c r="C1002" t="s">
        <v>118</v>
      </c>
      <c r="D1002" t="s">
        <v>33</v>
      </c>
      <c r="E1002" t="s">
        <v>34</v>
      </c>
      <c r="F1002" t="str">
        <f>"0014624"</f>
        <v>0014624</v>
      </c>
      <c r="G1002">
        <v>1</v>
      </c>
      <c r="H1002" t="str">
        <f>"00000001"</f>
        <v>00000001</v>
      </c>
      <c r="I1002" t="s">
        <v>35</v>
      </c>
      <c r="J1002"/>
      <c r="K1002">
        <v>12.71</v>
      </c>
      <c r="L1002">
        <v>0.0</v>
      </c>
      <c r="M1002"/>
      <c r="N1002"/>
      <c r="O1002">
        <v>2.29</v>
      </c>
      <c r="P1002">
        <v>0.0</v>
      </c>
      <c r="Q1002">
        <v>15.0</v>
      </c>
      <c r="R1002"/>
      <c r="S1002"/>
      <c r="T1002"/>
      <c r="U1002"/>
      <c r="V1002"/>
      <c r="W1002">
        <v>18</v>
      </c>
    </row>
    <row r="1003" spans="1:23">
      <c r="A1003"/>
      <c r="B1003" t="s">
        <v>118</v>
      </c>
      <c r="C1003" t="s">
        <v>118</v>
      </c>
      <c r="D1003" t="s">
        <v>33</v>
      </c>
      <c r="E1003" t="s">
        <v>34</v>
      </c>
      <c r="F1003" t="str">
        <f>"0014625"</f>
        <v>0014625</v>
      </c>
      <c r="G1003">
        <v>1</v>
      </c>
      <c r="H1003" t="str">
        <f>"00000001"</f>
        <v>00000001</v>
      </c>
      <c r="I1003" t="s">
        <v>35</v>
      </c>
      <c r="J1003"/>
      <c r="K1003">
        <v>16.95</v>
      </c>
      <c r="L1003">
        <v>0.0</v>
      </c>
      <c r="M1003"/>
      <c r="N1003"/>
      <c r="O1003">
        <v>3.05</v>
      </c>
      <c r="P1003">
        <v>0.0</v>
      </c>
      <c r="Q1003">
        <v>20.0</v>
      </c>
      <c r="R1003"/>
      <c r="S1003"/>
      <c r="T1003"/>
      <c r="U1003"/>
      <c r="V1003"/>
      <c r="W1003">
        <v>18</v>
      </c>
    </row>
    <row r="1004" spans="1:23">
      <c r="A1004"/>
      <c r="B1004" t="s">
        <v>118</v>
      </c>
      <c r="C1004" t="s">
        <v>118</v>
      </c>
      <c r="D1004" t="s">
        <v>33</v>
      </c>
      <c r="E1004" t="s">
        <v>34</v>
      </c>
      <c r="F1004" t="str">
        <f>"0014626"</f>
        <v>0014626</v>
      </c>
      <c r="G1004">
        <v>1</v>
      </c>
      <c r="H1004" t="str">
        <f>"00000001"</f>
        <v>00000001</v>
      </c>
      <c r="I1004" t="s">
        <v>35</v>
      </c>
      <c r="J1004"/>
      <c r="K1004">
        <v>4.24</v>
      </c>
      <c r="L1004">
        <v>0.0</v>
      </c>
      <c r="M1004"/>
      <c r="N1004"/>
      <c r="O1004">
        <v>0.76</v>
      </c>
      <c r="P1004">
        <v>0.0</v>
      </c>
      <c r="Q1004">
        <v>5.0</v>
      </c>
      <c r="R1004"/>
      <c r="S1004"/>
      <c r="T1004"/>
      <c r="U1004"/>
      <c r="V1004"/>
      <c r="W1004">
        <v>18</v>
      </c>
    </row>
    <row r="1005" spans="1:23">
      <c r="A1005"/>
      <c r="B1005" t="s">
        <v>118</v>
      </c>
      <c r="C1005" t="s">
        <v>118</v>
      </c>
      <c r="D1005" t="s">
        <v>33</v>
      </c>
      <c r="E1005" t="s">
        <v>34</v>
      </c>
      <c r="F1005" t="str">
        <f>"0014627"</f>
        <v>0014627</v>
      </c>
      <c r="G1005">
        <v>1</v>
      </c>
      <c r="H1005" t="str">
        <f>"00000001"</f>
        <v>00000001</v>
      </c>
      <c r="I1005" t="s">
        <v>35</v>
      </c>
      <c r="J1005"/>
      <c r="K1005">
        <v>17.96</v>
      </c>
      <c r="L1005">
        <v>0.0</v>
      </c>
      <c r="M1005"/>
      <c r="N1005"/>
      <c r="O1005">
        <v>3.23</v>
      </c>
      <c r="P1005">
        <v>0.0</v>
      </c>
      <c r="Q1005">
        <v>21.2</v>
      </c>
      <c r="R1005"/>
      <c r="S1005"/>
      <c r="T1005"/>
      <c r="U1005"/>
      <c r="V1005"/>
      <c r="W1005">
        <v>18</v>
      </c>
    </row>
    <row r="1006" spans="1:23">
      <c r="A1006"/>
      <c r="B1006" t="s">
        <v>118</v>
      </c>
      <c r="C1006" t="s">
        <v>118</v>
      </c>
      <c r="D1006" t="s">
        <v>33</v>
      </c>
      <c r="E1006" t="s">
        <v>34</v>
      </c>
      <c r="F1006" t="str">
        <f>"0014628"</f>
        <v>0014628</v>
      </c>
      <c r="G1006">
        <v>1</v>
      </c>
      <c r="H1006" t="str">
        <f>"00000001"</f>
        <v>00000001</v>
      </c>
      <c r="I1006" t="s">
        <v>35</v>
      </c>
      <c r="J1006"/>
      <c r="K1006">
        <v>2.54</v>
      </c>
      <c r="L1006">
        <v>0.0</v>
      </c>
      <c r="M1006"/>
      <c r="N1006"/>
      <c r="O1006">
        <v>0.46</v>
      </c>
      <c r="P1006">
        <v>0.0</v>
      </c>
      <c r="Q1006">
        <v>3.0</v>
      </c>
      <c r="R1006"/>
      <c r="S1006"/>
      <c r="T1006"/>
      <c r="U1006"/>
      <c r="V1006"/>
      <c r="W1006">
        <v>18</v>
      </c>
    </row>
    <row r="1007" spans="1:23">
      <c r="A1007"/>
      <c r="B1007" t="s">
        <v>118</v>
      </c>
      <c r="C1007" t="s">
        <v>118</v>
      </c>
      <c r="D1007" t="s">
        <v>33</v>
      </c>
      <c r="E1007" t="s">
        <v>34</v>
      </c>
      <c r="F1007" t="str">
        <f>"0014629"</f>
        <v>0014629</v>
      </c>
      <c r="G1007">
        <v>1</v>
      </c>
      <c r="H1007" t="str">
        <f>"00000001"</f>
        <v>00000001</v>
      </c>
      <c r="I1007" t="s">
        <v>35</v>
      </c>
      <c r="J1007"/>
      <c r="K1007">
        <v>16.95</v>
      </c>
      <c r="L1007">
        <v>0.0</v>
      </c>
      <c r="M1007"/>
      <c r="N1007"/>
      <c r="O1007">
        <v>3.05</v>
      </c>
      <c r="P1007">
        <v>0.0</v>
      </c>
      <c r="Q1007">
        <v>20.0</v>
      </c>
      <c r="R1007"/>
      <c r="S1007"/>
      <c r="T1007"/>
      <c r="U1007"/>
      <c r="V1007"/>
      <c r="W1007">
        <v>18</v>
      </c>
    </row>
    <row r="1008" spans="1:23">
      <c r="A1008"/>
      <c r="B1008" t="s">
        <v>118</v>
      </c>
      <c r="C1008" t="s">
        <v>118</v>
      </c>
      <c r="D1008" t="s">
        <v>33</v>
      </c>
      <c r="E1008" t="s">
        <v>34</v>
      </c>
      <c r="F1008" t="str">
        <f>"0014630"</f>
        <v>0014630</v>
      </c>
      <c r="G1008">
        <v>1</v>
      </c>
      <c r="H1008" t="str">
        <f>"00000001"</f>
        <v>00000001</v>
      </c>
      <c r="I1008" t="s">
        <v>35</v>
      </c>
      <c r="J1008"/>
      <c r="K1008">
        <v>3.39</v>
      </c>
      <c r="L1008">
        <v>0.0</v>
      </c>
      <c r="M1008"/>
      <c r="N1008"/>
      <c r="O1008">
        <v>0.61</v>
      </c>
      <c r="P1008">
        <v>0.0</v>
      </c>
      <c r="Q1008">
        <v>4.0</v>
      </c>
      <c r="R1008"/>
      <c r="S1008"/>
      <c r="T1008"/>
      <c r="U1008"/>
      <c r="V1008"/>
      <c r="W1008">
        <v>18</v>
      </c>
    </row>
    <row r="1009" spans="1:23">
      <c r="A1009"/>
      <c r="B1009" t="s">
        <v>118</v>
      </c>
      <c r="C1009" t="s">
        <v>118</v>
      </c>
      <c r="D1009" t="s">
        <v>33</v>
      </c>
      <c r="E1009" t="s">
        <v>34</v>
      </c>
      <c r="F1009" t="str">
        <f>"0014631"</f>
        <v>0014631</v>
      </c>
      <c r="G1009">
        <v>1</v>
      </c>
      <c r="H1009" t="str">
        <f>"00000001"</f>
        <v>00000001</v>
      </c>
      <c r="I1009" t="s">
        <v>35</v>
      </c>
      <c r="J1009"/>
      <c r="K1009">
        <v>3.81</v>
      </c>
      <c r="L1009">
        <v>0.0</v>
      </c>
      <c r="M1009"/>
      <c r="N1009"/>
      <c r="O1009">
        <v>0.69</v>
      </c>
      <c r="P1009">
        <v>0.0</v>
      </c>
      <c r="Q1009">
        <v>4.5</v>
      </c>
      <c r="R1009"/>
      <c r="S1009"/>
      <c r="T1009"/>
      <c r="U1009"/>
      <c r="V1009"/>
      <c r="W1009">
        <v>18</v>
      </c>
    </row>
    <row r="1010" spans="1:23">
      <c r="A1010"/>
      <c r="B1010" t="s">
        <v>118</v>
      </c>
      <c r="C1010" t="s">
        <v>118</v>
      </c>
      <c r="D1010" t="s">
        <v>33</v>
      </c>
      <c r="E1010" t="s">
        <v>34</v>
      </c>
      <c r="F1010" t="str">
        <f>"0014632"</f>
        <v>0014632</v>
      </c>
      <c r="G1010">
        <v>1</v>
      </c>
      <c r="H1010" t="str">
        <f>"00000001"</f>
        <v>00000001</v>
      </c>
      <c r="I1010" t="s">
        <v>35</v>
      </c>
      <c r="J1010"/>
      <c r="K1010">
        <v>5.08</v>
      </c>
      <c r="L1010">
        <v>0.0</v>
      </c>
      <c r="M1010"/>
      <c r="N1010"/>
      <c r="O1010">
        <v>0.92</v>
      </c>
      <c r="P1010">
        <v>0.0</v>
      </c>
      <c r="Q1010">
        <v>6.0</v>
      </c>
      <c r="R1010"/>
      <c r="S1010"/>
      <c r="T1010"/>
      <c r="U1010"/>
      <c r="V1010"/>
      <c r="W1010">
        <v>18</v>
      </c>
    </row>
    <row r="1011" spans="1:23">
      <c r="A1011"/>
      <c r="B1011" t="s">
        <v>118</v>
      </c>
      <c r="C1011" t="s">
        <v>118</v>
      </c>
      <c r="D1011" t="s">
        <v>33</v>
      </c>
      <c r="E1011" t="s">
        <v>34</v>
      </c>
      <c r="F1011" t="str">
        <f>"0014633"</f>
        <v>0014633</v>
      </c>
      <c r="G1011">
        <v>1</v>
      </c>
      <c r="H1011" t="str">
        <f>"00000001"</f>
        <v>00000001</v>
      </c>
      <c r="I1011" t="s">
        <v>35</v>
      </c>
      <c r="J1011"/>
      <c r="K1011">
        <v>21.19</v>
      </c>
      <c r="L1011">
        <v>0.0</v>
      </c>
      <c r="M1011"/>
      <c r="N1011"/>
      <c r="O1011">
        <v>3.81</v>
      </c>
      <c r="P1011">
        <v>0.0</v>
      </c>
      <c r="Q1011">
        <v>25.0</v>
      </c>
      <c r="R1011"/>
      <c r="S1011"/>
      <c r="T1011"/>
      <c r="U1011"/>
      <c r="V1011"/>
      <c r="W1011">
        <v>18</v>
      </c>
    </row>
    <row r="1012" spans="1:23">
      <c r="A1012"/>
      <c r="B1012" t="s">
        <v>118</v>
      </c>
      <c r="C1012" t="s">
        <v>118</v>
      </c>
      <c r="D1012" t="s">
        <v>33</v>
      </c>
      <c r="E1012" t="s">
        <v>34</v>
      </c>
      <c r="F1012" t="str">
        <f>"0014634"</f>
        <v>0014634</v>
      </c>
      <c r="G1012">
        <v>1</v>
      </c>
      <c r="H1012" t="str">
        <f>"00000001"</f>
        <v>00000001</v>
      </c>
      <c r="I1012" t="s">
        <v>35</v>
      </c>
      <c r="J1012"/>
      <c r="K1012">
        <v>20.34</v>
      </c>
      <c r="L1012">
        <v>0.0</v>
      </c>
      <c r="M1012"/>
      <c r="N1012"/>
      <c r="O1012">
        <v>3.66</v>
      </c>
      <c r="P1012">
        <v>0.0</v>
      </c>
      <c r="Q1012">
        <v>24.0</v>
      </c>
      <c r="R1012"/>
      <c r="S1012"/>
      <c r="T1012"/>
      <c r="U1012"/>
      <c r="V1012"/>
      <c r="W1012">
        <v>18</v>
      </c>
    </row>
    <row r="1013" spans="1:23">
      <c r="A1013"/>
      <c r="B1013" t="s">
        <v>118</v>
      </c>
      <c r="C1013" t="s">
        <v>118</v>
      </c>
      <c r="D1013" t="s">
        <v>33</v>
      </c>
      <c r="E1013" t="s">
        <v>34</v>
      </c>
      <c r="F1013" t="str">
        <f>"0014635"</f>
        <v>0014635</v>
      </c>
      <c r="G1013">
        <v>1</v>
      </c>
      <c r="H1013" t="str">
        <f>"00000001"</f>
        <v>00000001</v>
      </c>
      <c r="I1013" t="s">
        <v>35</v>
      </c>
      <c r="J1013"/>
      <c r="K1013">
        <v>16.95</v>
      </c>
      <c r="L1013">
        <v>0.0</v>
      </c>
      <c r="M1013"/>
      <c r="N1013"/>
      <c r="O1013">
        <v>3.05</v>
      </c>
      <c r="P1013">
        <v>0.0</v>
      </c>
      <c r="Q1013">
        <v>20.0</v>
      </c>
      <c r="R1013"/>
      <c r="S1013"/>
      <c r="T1013"/>
      <c r="U1013"/>
      <c r="V1013"/>
      <c r="W1013">
        <v>18</v>
      </c>
    </row>
    <row r="1014" spans="1:23">
      <c r="A1014"/>
      <c r="B1014" t="s">
        <v>118</v>
      </c>
      <c r="C1014" t="s">
        <v>118</v>
      </c>
      <c r="D1014" t="s">
        <v>33</v>
      </c>
      <c r="E1014" t="s">
        <v>34</v>
      </c>
      <c r="F1014" t="str">
        <f>"0014636"</f>
        <v>0014636</v>
      </c>
      <c r="G1014">
        <v>1</v>
      </c>
      <c r="H1014" t="str">
        <f>"00000001"</f>
        <v>00000001</v>
      </c>
      <c r="I1014" t="s">
        <v>35</v>
      </c>
      <c r="J1014"/>
      <c r="K1014">
        <v>2.54</v>
      </c>
      <c r="L1014">
        <v>0.0</v>
      </c>
      <c r="M1014"/>
      <c r="N1014"/>
      <c r="O1014">
        <v>0.46</v>
      </c>
      <c r="P1014">
        <v>0.0</v>
      </c>
      <c r="Q1014">
        <v>3.0</v>
      </c>
      <c r="R1014"/>
      <c r="S1014"/>
      <c r="T1014"/>
      <c r="U1014"/>
      <c r="V1014"/>
      <c r="W1014">
        <v>18</v>
      </c>
    </row>
    <row r="1015" spans="1:23">
      <c r="A1015"/>
      <c r="B1015" t="s">
        <v>118</v>
      </c>
      <c r="C1015" t="s">
        <v>118</v>
      </c>
      <c r="D1015" t="s">
        <v>33</v>
      </c>
      <c r="E1015" t="s">
        <v>34</v>
      </c>
      <c r="F1015" t="str">
        <f>"0014637"</f>
        <v>0014637</v>
      </c>
      <c r="G1015">
        <v>1</v>
      </c>
      <c r="H1015" t="str">
        <f>"00000001"</f>
        <v>00000001</v>
      </c>
      <c r="I1015" t="s">
        <v>35</v>
      </c>
      <c r="J1015"/>
      <c r="K1015">
        <v>19.49</v>
      </c>
      <c r="L1015">
        <v>0.0</v>
      </c>
      <c r="M1015"/>
      <c r="N1015"/>
      <c r="O1015">
        <v>3.51</v>
      </c>
      <c r="P1015">
        <v>0.0</v>
      </c>
      <c r="Q1015">
        <v>23.0</v>
      </c>
      <c r="R1015"/>
      <c r="S1015"/>
      <c r="T1015"/>
      <c r="U1015"/>
      <c r="V1015"/>
      <c r="W1015">
        <v>18</v>
      </c>
    </row>
    <row r="1016" spans="1:23">
      <c r="A1016"/>
      <c r="B1016" t="s">
        <v>118</v>
      </c>
      <c r="C1016" t="s">
        <v>118</v>
      </c>
      <c r="D1016" t="s">
        <v>33</v>
      </c>
      <c r="E1016" t="s">
        <v>34</v>
      </c>
      <c r="F1016" t="str">
        <f>"0014638"</f>
        <v>0014638</v>
      </c>
      <c r="G1016">
        <v>1</v>
      </c>
      <c r="H1016" t="str">
        <f>"00000001"</f>
        <v>00000001</v>
      </c>
      <c r="I1016" t="s">
        <v>35</v>
      </c>
      <c r="J1016"/>
      <c r="K1016">
        <v>12.71</v>
      </c>
      <c r="L1016">
        <v>0.0</v>
      </c>
      <c r="M1016"/>
      <c r="N1016"/>
      <c r="O1016">
        <v>2.29</v>
      </c>
      <c r="P1016">
        <v>0.0</v>
      </c>
      <c r="Q1016">
        <v>15.0</v>
      </c>
      <c r="R1016"/>
      <c r="S1016"/>
      <c r="T1016"/>
      <c r="U1016"/>
      <c r="V1016"/>
      <c r="W1016">
        <v>18</v>
      </c>
    </row>
    <row r="1017" spans="1:23">
      <c r="A1017"/>
      <c r="B1017" t="s">
        <v>118</v>
      </c>
      <c r="C1017" t="s">
        <v>118</v>
      </c>
      <c r="D1017" t="s">
        <v>33</v>
      </c>
      <c r="E1017" t="s">
        <v>34</v>
      </c>
      <c r="F1017" t="str">
        <f>"0014639"</f>
        <v>0014639</v>
      </c>
      <c r="G1017">
        <v>1</v>
      </c>
      <c r="H1017" t="str">
        <f>"00000001"</f>
        <v>00000001</v>
      </c>
      <c r="I1017" t="s">
        <v>35</v>
      </c>
      <c r="J1017"/>
      <c r="K1017">
        <v>4.24</v>
      </c>
      <c r="L1017">
        <v>0.0</v>
      </c>
      <c r="M1017"/>
      <c r="N1017"/>
      <c r="O1017">
        <v>0.76</v>
      </c>
      <c r="P1017">
        <v>0.0</v>
      </c>
      <c r="Q1017">
        <v>5.0</v>
      </c>
      <c r="R1017"/>
      <c r="S1017"/>
      <c r="T1017"/>
      <c r="U1017"/>
      <c r="V1017"/>
      <c r="W1017">
        <v>18</v>
      </c>
    </row>
    <row r="1018" spans="1:23">
      <c r="A1018"/>
      <c r="B1018" t="s">
        <v>118</v>
      </c>
      <c r="C1018" t="s">
        <v>118</v>
      </c>
      <c r="D1018" t="s">
        <v>33</v>
      </c>
      <c r="E1018" t="s">
        <v>34</v>
      </c>
      <c r="F1018" t="str">
        <f>"0014640"</f>
        <v>0014640</v>
      </c>
      <c r="G1018">
        <v>1</v>
      </c>
      <c r="H1018" t="str">
        <f>"00000001"</f>
        <v>00000001</v>
      </c>
      <c r="I1018" t="s">
        <v>35</v>
      </c>
      <c r="J1018"/>
      <c r="K1018">
        <v>2.54</v>
      </c>
      <c r="L1018">
        <v>0.0</v>
      </c>
      <c r="M1018"/>
      <c r="N1018"/>
      <c r="O1018">
        <v>0.46</v>
      </c>
      <c r="P1018">
        <v>0.0</v>
      </c>
      <c r="Q1018">
        <v>3.0</v>
      </c>
      <c r="R1018"/>
      <c r="S1018"/>
      <c r="T1018"/>
      <c r="U1018"/>
      <c r="V1018"/>
      <c r="W1018">
        <v>18</v>
      </c>
    </row>
    <row r="1019" spans="1:23">
      <c r="A1019"/>
      <c r="B1019" t="s">
        <v>118</v>
      </c>
      <c r="C1019" t="s">
        <v>118</v>
      </c>
      <c r="D1019" t="s">
        <v>33</v>
      </c>
      <c r="E1019" t="s">
        <v>34</v>
      </c>
      <c r="F1019" t="str">
        <f>"0014641"</f>
        <v>0014641</v>
      </c>
      <c r="G1019">
        <v>1</v>
      </c>
      <c r="H1019" t="str">
        <f>"00000001"</f>
        <v>00000001</v>
      </c>
      <c r="I1019" t="s">
        <v>35</v>
      </c>
      <c r="J1019"/>
      <c r="K1019">
        <v>13.14</v>
      </c>
      <c r="L1019">
        <v>0.0</v>
      </c>
      <c r="M1019"/>
      <c r="N1019"/>
      <c r="O1019">
        <v>2.36</v>
      </c>
      <c r="P1019">
        <v>0.0</v>
      </c>
      <c r="Q1019">
        <v>15.5</v>
      </c>
      <c r="R1019"/>
      <c r="S1019"/>
      <c r="T1019"/>
      <c r="U1019"/>
      <c r="V1019"/>
      <c r="W1019">
        <v>18</v>
      </c>
    </row>
    <row r="1020" spans="1:23">
      <c r="A1020"/>
      <c r="B1020" t="s">
        <v>118</v>
      </c>
      <c r="C1020" t="s">
        <v>118</v>
      </c>
      <c r="D1020" t="s">
        <v>33</v>
      </c>
      <c r="E1020" t="s">
        <v>34</v>
      </c>
      <c r="F1020" t="str">
        <f>"0014642"</f>
        <v>0014642</v>
      </c>
      <c r="G1020">
        <v>1</v>
      </c>
      <c r="H1020" t="str">
        <f>"00000001"</f>
        <v>00000001</v>
      </c>
      <c r="I1020" t="s">
        <v>35</v>
      </c>
      <c r="J1020"/>
      <c r="K1020">
        <v>3.81</v>
      </c>
      <c r="L1020">
        <v>0.0</v>
      </c>
      <c r="M1020"/>
      <c r="N1020"/>
      <c r="O1020">
        <v>0.69</v>
      </c>
      <c r="P1020">
        <v>0.0</v>
      </c>
      <c r="Q1020">
        <v>4.5</v>
      </c>
      <c r="R1020"/>
      <c r="S1020"/>
      <c r="T1020"/>
      <c r="U1020"/>
      <c r="V1020"/>
      <c r="W1020">
        <v>18</v>
      </c>
    </row>
    <row r="1021" spans="1:23">
      <c r="A1021"/>
      <c r="B1021" t="s">
        <v>118</v>
      </c>
      <c r="C1021" t="s">
        <v>118</v>
      </c>
      <c r="D1021" t="s">
        <v>33</v>
      </c>
      <c r="E1021" t="s">
        <v>34</v>
      </c>
      <c r="F1021" t="str">
        <f>"0014643"</f>
        <v>0014643</v>
      </c>
      <c r="G1021">
        <v>1</v>
      </c>
      <c r="H1021" t="str">
        <f>"00000001"</f>
        <v>00000001</v>
      </c>
      <c r="I1021" t="s">
        <v>35</v>
      </c>
      <c r="J1021"/>
      <c r="K1021">
        <v>3.39</v>
      </c>
      <c r="L1021">
        <v>0.0</v>
      </c>
      <c r="M1021"/>
      <c r="N1021"/>
      <c r="O1021">
        <v>0.61</v>
      </c>
      <c r="P1021">
        <v>0.0</v>
      </c>
      <c r="Q1021">
        <v>4.0</v>
      </c>
      <c r="R1021"/>
      <c r="S1021"/>
      <c r="T1021"/>
      <c r="U1021"/>
      <c r="V1021"/>
      <c r="W1021">
        <v>18</v>
      </c>
    </row>
    <row r="1022" spans="1:23">
      <c r="A1022"/>
      <c r="B1022" t="s">
        <v>118</v>
      </c>
      <c r="C1022" t="s">
        <v>118</v>
      </c>
      <c r="D1022" t="s">
        <v>33</v>
      </c>
      <c r="E1022" t="s">
        <v>34</v>
      </c>
      <c r="F1022" t="str">
        <f>"0014644"</f>
        <v>0014644</v>
      </c>
      <c r="G1022">
        <v>1</v>
      </c>
      <c r="H1022" t="str">
        <f>"00000001"</f>
        <v>00000001</v>
      </c>
      <c r="I1022" t="s">
        <v>35</v>
      </c>
      <c r="J1022"/>
      <c r="K1022">
        <v>38.14</v>
      </c>
      <c r="L1022">
        <v>0.0</v>
      </c>
      <c r="M1022"/>
      <c r="N1022"/>
      <c r="O1022">
        <v>6.86</v>
      </c>
      <c r="P1022">
        <v>0.0</v>
      </c>
      <c r="Q1022">
        <v>45.0</v>
      </c>
      <c r="R1022"/>
      <c r="S1022"/>
      <c r="T1022"/>
      <c r="U1022"/>
      <c r="V1022"/>
      <c r="W1022">
        <v>18</v>
      </c>
    </row>
    <row r="1023" spans="1:23">
      <c r="A1023"/>
      <c r="B1023" t="s">
        <v>118</v>
      </c>
      <c r="C1023" t="s">
        <v>118</v>
      </c>
      <c r="D1023" t="s">
        <v>33</v>
      </c>
      <c r="E1023" t="s">
        <v>34</v>
      </c>
      <c r="F1023" t="str">
        <f>"0014645"</f>
        <v>0014645</v>
      </c>
      <c r="G1023">
        <v>1</v>
      </c>
      <c r="H1023" t="str">
        <f>"00000001"</f>
        <v>00000001</v>
      </c>
      <c r="I1023" t="s">
        <v>35</v>
      </c>
      <c r="J1023"/>
      <c r="K1023">
        <v>11.86</v>
      </c>
      <c r="L1023">
        <v>0.0</v>
      </c>
      <c r="M1023"/>
      <c r="N1023"/>
      <c r="O1023">
        <v>2.14</v>
      </c>
      <c r="P1023">
        <v>0.0</v>
      </c>
      <c r="Q1023">
        <v>14.0</v>
      </c>
      <c r="R1023"/>
      <c r="S1023"/>
      <c r="T1023"/>
      <c r="U1023"/>
      <c r="V1023"/>
      <c r="W1023">
        <v>18</v>
      </c>
    </row>
    <row r="1024" spans="1:23">
      <c r="A1024"/>
      <c r="B1024" t="s">
        <v>118</v>
      </c>
      <c r="C1024" t="s">
        <v>118</v>
      </c>
      <c r="D1024" t="s">
        <v>33</v>
      </c>
      <c r="E1024" t="s">
        <v>34</v>
      </c>
      <c r="F1024" t="str">
        <f>"0014646"</f>
        <v>0014646</v>
      </c>
      <c r="G1024">
        <v>1</v>
      </c>
      <c r="H1024" t="str">
        <f>"00000001"</f>
        <v>00000001</v>
      </c>
      <c r="I1024" t="s">
        <v>35</v>
      </c>
      <c r="J1024"/>
      <c r="K1024">
        <v>14.41</v>
      </c>
      <c r="L1024">
        <v>0.0</v>
      </c>
      <c r="M1024"/>
      <c r="N1024"/>
      <c r="O1024">
        <v>2.59</v>
      </c>
      <c r="P1024">
        <v>0.0</v>
      </c>
      <c r="Q1024">
        <v>17.0</v>
      </c>
      <c r="R1024"/>
      <c r="S1024"/>
      <c r="T1024"/>
      <c r="U1024"/>
      <c r="V1024"/>
      <c r="W1024">
        <v>18</v>
      </c>
    </row>
    <row r="1025" spans="1:23">
      <c r="A1025"/>
      <c r="B1025" t="s">
        <v>118</v>
      </c>
      <c r="C1025" t="s">
        <v>118</v>
      </c>
      <c r="D1025" t="s">
        <v>33</v>
      </c>
      <c r="E1025" t="s">
        <v>34</v>
      </c>
      <c r="F1025" t="str">
        <f>"0014647"</f>
        <v>0014647</v>
      </c>
      <c r="G1025">
        <v>1</v>
      </c>
      <c r="H1025" t="str">
        <f>"00000001"</f>
        <v>00000001</v>
      </c>
      <c r="I1025" t="s">
        <v>35</v>
      </c>
      <c r="J1025"/>
      <c r="K1025">
        <v>3.39</v>
      </c>
      <c r="L1025">
        <v>0.0</v>
      </c>
      <c r="M1025"/>
      <c r="N1025"/>
      <c r="O1025">
        <v>0.61</v>
      </c>
      <c r="P1025">
        <v>0.0</v>
      </c>
      <c r="Q1025">
        <v>4.0</v>
      </c>
      <c r="R1025"/>
      <c r="S1025"/>
      <c r="T1025"/>
      <c r="U1025"/>
      <c r="V1025"/>
      <c r="W1025">
        <v>18</v>
      </c>
    </row>
    <row r="1026" spans="1:23">
      <c r="A1026"/>
      <c r="B1026" t="s">
        <v>118</v>
      </c>
      <c r="C1026" t="s">
        <v>118</v>
      </c>
      <c r="D1026" t="s">
        <v>33</v>
      </c>
      <c r="E1026" t="s">
        <v>34</v>
      </c>
      <c r="F1026" t="str">
        <f>"0014648"</f>
        <v>0014648</v>
      </c>
      <c r="G1026">
        <v>1</v>
      </c>
      <c r="H1026" t="str">
        <f>"00000001"</f>
        <v>00000001</v>
      </c>
      <c r="I1026" t="s">
        <v>35</v>
      </c>
      <c r="J1026"/>
      <c r="K1026">
        <v>72.03</v>
      </c>
      <c r="L1026">
        <v>0.0</v>
      </c>
      <c r="M1026"/>
      <c r="N1026"/>
      <c r="O1026">
        <v>12.97</v>
      </c>
      <c r="P1026">
        <v>0.0</v>
      </c>
      <c r="Q1026">
        <v>85.0</v>
      </c>
      <c r="R1026"/>
      <c r="S1026"/>
      <c r="T1026"/>
      <c r="U1026"/>
      <c r="V1026"/>
      <c r="W1026">
        <v>18</v>
      </c>
    </row>
    <row r="1027" spans="1:23">
      <c r="A1027"/>
      <c r="B1027" t="s">
        <v>118</v>
      </c>
      <c r="C1027" t="s">
        <v>118</v>
      </c>
      <c r="D1027" t="s">
        <v>33</v>
      </c>
      <c r="E1027" t="s">
        <v>34</v>
      </c>
      <c r="F1027" t="str">
        <f>"0014649"</f>
        <v>0014649</v>
      </c>
      <c r="G1027">
        <v>1</v>
      </c>
      <c r="H1027" t="str">
        <f>"00000001"</f>
        <v>00000001</v>
      </c>
      <c r="I1027" t="s">
        <v>35</v>
      </c>
      <c r="J1027"/>
      <c r="K1027">
        <v>21.19</v>
      </c>
      <c r="L1027">
        <v>0.0</v>
      </c>
      <c r="M1027"/>
      <c r="N1027"/>
      <c r="O1027">
        <v>3.81</v>
      </c>
      <c r="P1027">
        <v>0.0</v>
      </c>
      <c r="Q1027">
        <v>25.0</v>
      </c>
      <c r="R1027"/>
      <c r="S1027"/>
      <c r="T1027"/>
      <c r="U1027"/>
      <c r="V1027"/>
      <c r="W1027">
        <v>18</v>
      </c>
    </row>
    <row r="1028" spans="1:23">
      <c r="A1028"/>
      <c r="B1028" t="s">
        <v>118</v>
      </c>
      <c r="C1028" t="s">
        <v>118</v>
      </c>
      <c r="D1028" t="s">
        <v>40</v>
      </c>
      <c r="E1028" t="s">
        <v>41</v>
      </c>
      <c r="F1028" t="str">
        <f>"0001292"</f>
        <v>0001292</v>
      </c>
      <c r="G1028">
        <v>6</v>
      </c>
      <c r="H1028" t="str">
        <f>"20522232531"</f>
        <v>20522232531</v>
      </c>
      <c r="I1028" t="s">
        <v>120</v>
      </c>
      <c r="J1028"/>
      <c r="K1028">
        <v>32.2</v>
      </c>
      <c r="L1028">
        <v>0.0</v>
      </c>
      <c r="M1028"/>
      <c r="N1028"/>
      <c r="O1028">
        <v>5.8</v>
      </c>
      <c r="P1028">
        <v>0.0</v>
      </c>
      <c r="Q1028">
        <v>38.0</v>
      </c>
      <c r="R1028"/>
      <c r="S1028"/>
      <c r="T1028"/>
      <c r="U1028"/>
      <c r="V1028"/>
      <c r="W1028">
        <v>18</v>
      </c>
    </row>
    <row r="1029" spans="1:23">
      <c r="A1029"/>
      <c r="B1029" t="s">
        <v>118</v>
      </c>
      <c r="C1029" t="s">
        <v>118</v>
      </c>
      <c r="D1029" t="s">
        <v>40</v>
      </c>
      <c r="E1029" t="s">
        <v>41</v>
      </c>
      <c r="F1029" t="str">
        <f>"0001293"</f>
        <v>0001293</v>
      </c>
      <c r="G1029">
        <v>6</v>
      </c>
      <c r="H1029" t="str">
        <f>"20522232531"</f>
        <v>20522232531</v>
      </c>
      <c r="I1029" t="s">
        <v>120</v>
      </c>
      <c r="J1029"/>
      <c r="K1029">
        <v>6.78</v>
      </c>
      <c r="L1029">
        <v>0.0</v>
      </c>
      <c r="M1029"/>
      <c r="N1029"/>
      <c r="O1029">
        <v>1.22</v>
      </c>
      <c r="P1029">
        <v>0.0</v>
      </c>
      <c r="Q1029">
        <v>8.0</v>
      </c>
      <c r="R1029"/>
      <c r="S1029"/>
      <c r="T1029"/>
      <c r="U1029"/>
      <c r="V1029"/>
      <c r="W1029">
        <v>18</v>
      </c>
    </row>
    <row r="1030" spans="1:23">
      <c r="A1030"/>
      <c r="B1030" t="s">
        <v>118</v>
      </c>
      <c r="C1030" t="s">
        <v>118</v>
      </c>
      <c r="D1030" t="s">
        <v>33</v>
      </c>
      <c r="E1030" t="s">
        <v>34</v>
      </c>
      <c r="F1030" t="str">
        <f>"0014650"</f>
        <v>0014650</v>
      </c>
      <c r="G1030">
        <v>1</v>
      </c>
      <c r="H1030" t="str">
        <f>"00000001"</f>
        <v>00000001</v>
      </c>
      <c r="I1030" t="s">
        <v>35</v>
      </c>
      <c r="J1030"/>
      <c r="K1030">
        <v>16.95</v>
      </c>
      <c r="L1030">
        <v>0.0</v>
      </c>
      <c r="M1030"/>
      <c r="N1030"/>
      <c r="O1030">
        <v>3.05</v>
      </c>
      <c r="P1030">
        <v>0.0</v>
      </c>
      <c r="Q1030">
        <v>20.0</v>
      </c>
      <c r="R1030"/>
      <c r="S1030"/>
      <c r="T1030"/>
      <c r="U1030"/>
      <c r="V1030"/>
      <c r="W1030">
        <v>18</v>
      </c>
    </row>
    <row r="1031" spans="1:23">
      <c r="A1031"/>
      <c r="B1031" t="s">
        <v>118</v>
      </c>
      <c r="C1031" t="s">
        <v>118</v>
      </c>
      <c r="D1031" t="s">
        <v>33</v>
      </c>
      <c r="E1031" t="s">
        <v>34</v>
      </c>
      <c r="F1031" t="str">
        <f>"0014651"</f>
        <v>0014651</v>
      </c>
      <c r="G1031">
        <v>1</v>
      </c>
      <c r="H1031" t="str">
        <f>"00000001"</f>
        <v>00000001</v>
      </c>
      <c r="I1031" t="s">
        <v>35</v>
      </c>
      <c r="J1031"/>
      <c r="K1031">
        <v>14.83</v>
      </c>
      <c r="L1031">
        <v>0.0</v>
      </c>
      <c r="M1031"/>
      <c r="N1031"/>
      <c r="O1031">
        <v>2.67</v>
      </c>
      <c r="P1031">
        <v>0.0</v>
      </c>
      <c r="Q1031">
        <v>17.5</v>
      </c>
      <c r="R1031"/>
      <c r="S1031"/>
      <c r="T1031"/>
      <c r="U1031"/>
      <c r="V1031"/>
      <c r="W1031">
        <v>18</v>
      </c>
    </row>
    <row r="1032" spans="1:23">
      <c r="A1032"/>
      <c r="B1032" t="s">
        <v>118</v>
      </c>
      <c r="C1032" t="s">
        <v>118</v>
      </c>
      <c r="D1032" t="s">
        <v>33</v>
      </c>
      <c r="E1032" t="s">
        <v>34</v>
      </c>
      <c r="F1032" t="str">
        <f>"0014652"</f>
        <v>0014652</v>
      </c>
      <c r="G1032">
        <v>1</v>
      </c>
      <c r="H1032" t="str">
        <f>"00000001"</f>
        <v>00000001</v>
      </c>
      <c r="I1032" t="s">
        <v>35</v>
      </c>
      <c r="J1032"/>
      <c r="K1032">
        <v>12.71</v>
      </c>
      <c r="L1032">
        <v>0.0</v>
      </c>
      <c r="M1032"/>
      <c r="N1032"/>
      <c r="O1032">
        <v>2.29</v>
      </c>
      <c r="P1032">
        <v>0.0</v>
      </c>
      <c r="Q1032">
        <v>15.0</v>
      </c>
      <c r="R1032"/>
      <c r="S1032"/>
      <c r="T1032"/>
      <c r="U1032"/>
      <c r="V1032"/>
      <c r="W1032">
        <v>18</v>
      </c>
    </row>
    <row r="1033" spans="1:23">
      <c r="A1033"/>
      <c r="B1033" t="s">
        <v>118</v>
      </c>
      <c r="C1033" t="s">
        <v>118</v>
      </c>
      <c r="D1033" t="s">
        <v>33</v>
      </c>
      <c r="E1033" t="s">
        <v>34</v>
      </c>
      <c r="F1033" t="str">
        <f>"0014653"</f>
        <v>0014653</v>
      </c>
      <c r="G1033">
        <v>1</v>
      </c>
      <c r="H1033" t="str">
        <f>"00000001"</f>
        <v>00000001</v>
      </c>
      <c r="I1033" t="s">
        <v>35</v>
      </c>
      <c r="J1033"/>
      <c r="K1033">
        <v>18.64</v>
      </c>
      <c r="L1033">
        <v>0.0</v>
      </c>
      <c r="M1033"/>
      <c r="N1033"/>
      <c r="O1033">
        <v>3.36</v>
      </c>
      <c r="P1033">
        <v>0.0</v>
      </c>
      <c r="Q1033">
        <v>22.0</v>
      </c>
      <c r="R1033"/>
      <c r="S1033"/>
      <c r="T1033"/>
      <c r="U1033"/>
      <c r="V1033"/>
      <c r="W1033">
        <v>18</v>
      </c>
    </row>
    <row r="1034" spans="1:23">
      <c r="A1034"/>
      <c r="B1034" t="s">
        <v>118</v>
      </c>
      <c r="C1034" t="s">
        <v>118</v>
      </c>
      <c r="D1034" t="s">
        <v>33</v>
      </c>
      <c r="E1034" t="s">
        <v>34</v>
      </c>
      <c r="F1034" t="str">
        <f>"0014654"</f>
        <v>0014654</v>
      </c>
      <c r="G1034">
        <v>1</v>
      </c>
      <c r="H1034" t="str">
        <f>"00000001"</f>
        <v>00000001</v>
      </c>
      <c r="I1034" t="s">
        <v>35</v>
      </c>
      <c r="J1034"/>
      <c r="K1034">
        <v>13.56</v>
      </c>
      <c r="L1034">
        <v>0.0</v>
      </c>
      <c r="M1034"/>
      <c r="N1034"/>
      <c r="O1034">
        <v>2.44</v>
      </c>
      <c r="P1034">
        <v>0.0</v>
      </c>
      <c r="Q1034">
        <v>16.0</v>
      </c>
      <c r="R1034"/>
      <c r="S1034"/>
      <c r="T1034"/>
      <c r="U1034"/>
      <c r="V1034"/>
      <c r="W1034">
        <v>18</v>
      </c>
    </row>
    <row r="1035" spans="1:23">
      <c r="A1035"/>
      <c r="B1035" t="s">
        <v>118</v>
      </c>
      <c r="C1035" t="s">
        <v>118</v>
      </c>
      <c r="D1035" t="s">
        <v>33</v>
      </c>
      <c r="E1035" t="s">
        <v>34</v>
      </c>
      <c r="F1035" t="str">
        <f>"0014655"</f>
        <v>0014655</v>
      </c>
      <c r="G1035">
        <v>1</v>
      </c>
      <c r="H1035" t="str">
        <f>"00000001"</f>
        <v>00000001</v>
      </c>
      <c r="I1035" t="s">
        <v>35</v>
      </c>
      <c r="J1035"/>
      <c r="K1035">
        <v>21.19</v>
      </c>
      <c r="L1035">
        <v>0.0</v>
      </c>
      <c r="M1035"/>
      <c r="N1035"/>
      <c r="O1035">
        <v>3.81</v>
      </c>
      <c r="P1035">
        <v>0.0</v>
      </c>
      <c r="Q1035">
        <v>25.0</v>
      </c>
      <c r="R1035"/>
      <c r="S1035"/>
      <c r="T1035"/>
      <c r="U1035"/>
      <c r="V1035"/>
      <c r="W1035">
        <v>18</v>
      </c>
    </row>
    <row r="1036" spans="1:23">
      <c r="A1036"/>
      <c r="B1036" t="s">
        <v>118</v>
      </c>
      <c r="C1036" t="s">
        <v>118</v>
      </c>
      <c r="D1036" t="s">
        <v>33</v>
      </c>
      <c r="E1036" t="s">
        <v>34</v>
      </c>
      <c r="F1036" t="str">
        <f>"0014656"</f>
        <v>0014656</v>
      </c>
      <c r="G1036">
        <v>1</v>
      </c>
      <c r="H1036" t="str">
        <f>"00000001"</f>
        <v>00000001</v>
      </c>
      <c r="I1036" t="s">
        <v>35</v>
      </c>
      <c r="J1036"/>
      <c r="K1036">
        <v>6.78</v>
      </c>
      <c r="L1036">
        <v>0.0</v>
      </c>
      <c r="M1036"/>
      <c r="N1036"/>
      <c r="O1036">
        <v>1.22</v>
      </c>
      <c r="P1036">
        <v>0.0</v>
      </c>
      <c r="Q1036">
        <v>8.0</v>
      </c>
      <c r="R1036"/>
      <c r="S1036"/>
      <c r="T1036"/>
      <c r="U1036"/>
      <c r="V1036"/>
      <c r="W1036">
        <v>18</v>
      </c>
    </row>
    <row r="1037" spans="1:23">
      <c r="A1037"/>
      <c r="B1037" t="s">
        <v>118</v>
      </c>
      <c r="C1037" t="s">
        <v>118</v>
      </c>
      <c r="D1037" t="s">
        <v>33</v>
      </c>
      <c r="E1037" t="s">
        <v>34</v>
      </c>
      <c r="F1037" t="str">
        <f>"0014657"</f>
        <v>0014657</v>
      </c>
      <c r="G1037">
        <v>1</v>
      </c>
      <c r="H1037" t="str">
        <f>"00000001"</f>
        <v>00000001</v>
      </c>
      <c r="I1037" t="s">
        <v>35</v>
      </c>
      <c r="J1037"/>
      <c r="K1037">
        <v>6.78</v>
      </c>
      <c r="L1037">
        <v>0.0</v>
      </c>
      <c r="M1037"/>
      <c r="N1037"/>
      <c r="O1037">
        <v>1.22</v>
      </c>
      <c r="P1037">
        <v>0.0</v>
      </c>
      <c r="Q1037">
        <v>8.0</v>
      </c>
      <c r="R1037"/>
      <c r="S1037"/>
      <c r="T1037"/>
      <c r="U1037"/>
      <c r="V1037"/>
      <c r="W1037">
        <v>18</v>
      </c>
    </row>
    <row r="1038" spans="1:23">
      <c r="A1038"/>
      <c r="B1038" t="s">
        <v>118</v>
      </c>
      <c r="C1038" t="s">
        <v>118</v>
      </c>
      <c r="D1038" t="s">
        <v>33</v>
      </c>
      <c r="E1038" t="s">
        <v>34</v>
      </c>
      <c r="F1038" t="str">
        <f>"0014658"</f>
        <v>0014658</v>
      </c>
      <c r="G1038">
        <v>1</v>
      </c>
      <c r="H1038" t="str">
        <f>"00000001"</f>
        <v>00000001</v>
      </c>
      <c r="I1038" t="s">
        <v>35</v>
      </c>
      <c r="J1038"/>
      <c r="K1038">
        <v>8.47</v>
      </c>
      <c r="L1038">
        <v>0.0</v>
      </c>
      <c r="M1038"/>
      <c r="N1038"/>
      <c r="O1038">
        <v>1.53</v>
      </c>
      <c r="P1038">
        <v>0.0</v>
      </c>
      <c r="Q1038">
        <v>10.0</v>
      </c>
      <c r="R1038"/>
      <c r="S1038"/>
      <c r="T1038"/>
      <c r="U1038"/>
      <c r="V1038"/>
      <c r="W1038">
        <v>18</v>
      </c>
    </row>
    <row r="1039" spans="1:23">
      <c r="A1039"/>
      <c r="B1039" t="s">
        <v>118</v>
      </c>
      <c r="C1039" t="s">
        <v>118</v>
      </c>
      <c r="D1039" t="s">
        <v>33</v>
      </c>
      <c r="E1039" t="s">
        <v>34</v>
      </c>
      <c r="F1039" t="str">
        <f>"0014659"</f>
        <v>0014659</v>
      </c>
      <c r="G1039">
        <v>1</v>
      </c>
      <c r="H1039" t="str">
        <f>"00000001"</f>
        <v>00000001</v>
      </c>
      <c r="I1039" t="s">
        <v>35</v>
      </c>
      <c r="J1039"/>
      <c r="K1039">
        <v>6.78</v>
      </c>
      <c r="L1039">
        <v>0.0</v>
      </c>
      <c r="M1039"/>
      <c r="N1039"/>
      <c r="O1039">
        <v>1.22</v>
      </c>
      <c r="P1039">
        <v>0.0</v>
      </c>
      <c r="Q1039">
        <v>8.0</v>
      </c>
      <c r="R1039"/>
      <c r="S1039"/>
      <c r="T1039"/>
      <c r="U1039"/>
      <c r="V1039"/>
      <c r="W1039">
        <v>18</v>
      </c>
    </row>
    <row r="1040" spans="1:23">
      <c r="A1040"/>
      <c r="B1040" t="s">
        <v>118</v>
      </c>
      <c r="C1040" t="s">
        <v>118</v>
      </c>
      <c r="D1040" t="s">
        <v>33</v>
      </c>
      <c r="E1040" t="s">
        <v>34</v>
      </c>
      <c r="F1040" t="str">
        <f>"0014660"</f>
        <v>0014660</v>
      </c>
      <c r="G1040">
        <v>1</v>
      </c>
      <c r="H1040" t="str">
        <f>"00000001"</f>
        <v>00000001</v>
      </c>
      <c r="I1040" t="s">
        <v>35</v>
      </c>
      <c r="J1040"/>
      <c r="K1040">
        <v>10.17</v>
      </c>
      <c r="L1040">
        <v>0.0</v>
      </c>
      <c r="M1040"/>
      <c r="N1040"/>
      <c r="O1040">
        <v>1.83</v>
      </c>
      <c r="P1040">
        <v>0.0</v>
      </c>
      <c r="Q1040">
        <v>12.0</v>
      </c>
      <c r="R1040"/>
      <c r="S1040"/>
      <c r="T1040"/>
      <c r="U1040"/>
      <c r="V1040"/>
      <c r="W1040">
        <v>18</v>
      </c>
    </row>
    <row r="1041" spans="1:23">
      <c r="A1041"/>
      <c r="B1041" t="s">
        <v>118</v>
      </c>
      <c r="C1041" t="s">
        <v>118</v>
      </c>
      <c r="D1041" t="s">
        <v>33</v>
      </c>
      <c r="E1041" t="s">
        <v>34</v>
      </c>
      <c r="F1041" t="str">
        <f>"0014661"</f>
        <v>0014661</v>
      </c>
      <c r="G1041">
        <v>1</v>
      </c>
      <c r="H1041" t="str">
        <f>"00000001"</f>
        <v>00000001</v>
      </c>
      <c r="I1041" t="s">
        <v>35</v>
      </c>
      <c r="J1041"/>
      <c r="K1041">
        <v>7.63</v>
      </c>
      <c r="L1041">
        <v>0.0</v>
      </c>
      <c r="M1041"/>
      <c r="N1041"/>
      <c r="O1041">
        <v>1.37</v>
      </c>
      <c r="P1041">
        <v>0.0</v>
      </c>
      <c r="Q1041">
        <v>9.0</v>
      </c>
      <c r="R1041"/>
      <c r="S1041"/>
      <c r="T1041"/>
      <c r="U1041"/>
      <c r="V1041"/>
      <c r="W1041">
        <v>18</v>
      </c>
    </row>
    <row r="1042" spans="1:23">
      <c r="A1042"/>
      <c r="B1042" t="s">
        <v>118</v>
      </c>
      <c r="C1042" t="s">
        <v>118</v>
      </c>
      <c r="D1042" t="s">
        <v>33</v>
      </c>
      <c r="E1042" t="s">
        <v>34</v>
      </c>
      <c r="F1042" t="str">
        <f>"0014662"</f>
        <v>0014662</v>
      </c>
      <c r="G1042">
        <v>1</v>
      </c>
      <c r="H1042" t="str">
        <f>"00000001"</f>
        <v>00000001</v>
      </c>
      <c r="I1042" t="s">
        <v>35</v>
      </c>
      <c r="J1042"/>
      <c r="K1042">
        <v>3.39</v>
      </c>
      <c r="L1042">
        <v>0.0</v>
      </c>
      <c r="M1042"/>
      <c r="N1042"/>
      <c r="O1042">
        <v>0.61</v>
      </c>
      <c r="P1042">
        <v>0.0</v>
      </c>
      <c r="Q1042">
        <v>4.0</v>
      </c>
      <c r="R1042"/>
      <c r="S1042"/>
      <c r="T1042"/>
      <c r="U1042"/>
      <c r="V1042"/>
      <c r="W1042">
        <v>18</v>
      </c>
    </row>
    <row r="1043" spans="1:23">
      <c r="A1043"/>
      <c r="B1043" t="s">
        <v>118</v>
      </c>
      <c r="C1043" t="s">
        <v>118</v>
      </c>
      <c r="D1043" t="s">
        <v>33</v>
      </c>
      <c r="E1043" t="s">
        <v>34</v>
      </c>
      <c r="F1043" t="str">
        <f>"0014663"</f>
        <v>0014663</v>
      </c>
      <c r="G1043">
        <v>1</v>
      </c>
      <c r="H1043" t="str">
        <f>"00000001"</f>
        <v>00000001</v>
      </c>
      <c r="I1043" t="s">
        <v>35</v>
      </c>
      <c r="J1043"/>
      <c r="K1043">
        <v>11.44</v>
      </c>
      <c r="L1043">
        <v>0.0</v>
      </c>
      <c r="M1043"/>
      <c r="N1043"/>
      <c r="O1043">
        <v>2.06</v>
      </c>
      <c r="P1043">
        <v>0.0</v>
      </c>
      <c r="Q1043">
        <v>13.5</v>
      </c>
      <c r="R1043"/>
      <c r="S1043"/>
      <c r="T1043"/>
      <c r="U1043"/>
      <c r="V1043"/>
      <c r="W1043">
        <v>18</v>
      </c>
    </row>
    <row r="1044" spans="1:23">
      <c r="A1044"/>
      <c r="B1044" t="s">
        <v>121</v>
      </c>
      <c r="C1044" t="s">
        <v>121</v>
      </c>
      <c r="D1044" t="s">
        <v>33</v>
      </c>
      <c r="E1044" t="s">
        <v>34</v>
      </c>
      <c r="F1044" t="str">
        <f>"0014664"</f>
        <v>0014664</v>
      </c>
      <c r="G1044">
        <v>1</v>
      </c>
      <c r="H1044" t="str">
        <f>"00000001"</f>
        <v>00000001</v>
      </c>
      <c r="I1044" t="s">
        <v>35</v>
      </c>
      <c r="J1044"/>
      <c r="K1044">
        <v>4.24</v>
      </c>
      <c r="L1044">
        <v>0.0</v>
      </c>
      <c r="M1044"/>
      <c r="N1044"/>
      <c r="O1044">
        <v>0.76</v>
      </c>
      <c r="P1044">
        <v>0.0</v>
      </c>
      <c r="Q1044">
        <v>5.0</v>
      </c>
      <c r="R1044"/>
      <c r="S1044"/>
      <c r="T1044"/>
      <c r="U1044"/>
      <c r="V1044"/>
      <c r="W1044">
        <v>18</v>
      </c>
    </row>
    <row r="1045" spans="1:23">
      <c r="A1045"/>
      <c r="B1045" t="s">
        <v>121</v>
      </c>
      <c r="C1045" t="s">
        <v>121</v>
      </c>
      <c r="D1045" t="s">
        <v>33</v>
      </c>
      <c r="E1045" t="s">
        <v>34</v>
      </c>
      <c r="F1045" t="str">
        <f>"0014665"</f>
        <v>0014665</v>
      </c>
      <c r="G1045">
        <v>1</v>
      </c>
      <c r="H1045" t="str">
        <f>"00000001"</f>
        <v>00000001</v>
      </c>
      <c r="I1045" t="s">
        <v>35</v>
      </c>
      <c r="J1045"/>
      <c r="K1045">
        <v>5.08</v>
      </c>
      <c r="L1045">
        <v>0.0</v>
      </c>
      <c r="M1045"/>
      <c r="N1045"/>
      <c r="O1045">
        <v>0.92</v>
      </c>
      <c r="P1045">
        <v>0.0</v>
      </c>
      <c r="Q1045">
        <v>6.0</v>
      </c>
      <c r="R1045"/>
      <c r="S1045"/>
      <c r="T1045"/>
      <c r="U1045"/>
      <c r="V1045"/>
      <c r="W1045">
        <v>18</v>
      </c>
    </row>
    <row r="1046" spans="1:23">
      <c r="A1046"/>
      <c r="B1046" t="s">
        <v>121</v>
      </c>
      <c r="C1046" t="s">
        <v>121</v>
      </c>
      <c r="D1046" t="s">
        <v>33</v>
      </c>
      <c r="E1046" t="s">
        <v>34</v>
      </c>
      <c r="F1046" t="str">
        <f>"0014666"</f>
        <v>0014666</v>
      </c>
      <c r="G1046">
        <v>1</v>
      </c>
      <c r="H1046" t="str">
        <f>"00000001"</f>
        <v>00000001</v>
      </c>
      <c r="I1046" t="s">
        <v>35</v>
      </c>
      <c r="J1046"/>
      <c r="K1046">
        <v>2.54</v>
      </c>
      <c r="L1046">
        <v>0.0</v>
      </c>
      <c r="M1046"/>
      <c r="N1046"/>
      <c r="O1046">
        <v>0.46</v>
      </c>
      <c r="P1046">
        <v>0.0</v>
      </c>
      <c r="Q1046">
        <v>3.0</v>
      </c>
      <c r="R1046"/>
      <c r="S1046"/>
      <c r="T1046"/>
      <c r="U1046"/>
      <c r="V1046"/>
      <c r="W1046">
        <v>18</v>
      </c>
    </row>
    <row r="1047" spans="1:23">
      <c r="A1047"/>
      <c r="B1047" t="s">
        <v>121</v>
      </c>
      <c r="C1047" t="s">
        <v>121</v>
      </c>
      <c r="D1047" t="s">
        <v>33</v>
      </c>
      <c r="E1047" t="s">
        <v>34</v>
      </c>
      <c r="F1047" t="str">
        <f>"0014667"</f>
        <v>0014667</v>
      </c>
      <c r="G1047">
        <v>1</v>
      </c>
      <c r="H1047" t="str">
        <f>"00000001"</f>
        <v>00000001</v>
      </c>
      <c r="I1047" t="s">
        <v>35</v>
      </c>
      <c r="J1047"/>
      <c r="K1047">
        <v>5.93</v>
      </c>
      <c r="L1047">
        <v>0.0</v>
      </c>
      <c r="M1047"/>
      <c r="N1047"/>
      <c r="O1047">
        <v>1.07</v>
      </c>
      <c r="P1047">
        <v>0.0</v>
      </c>
      <c r="Q1047">
        <v>7.0</v>
      </c>
      <c r="R1047"/>
      <c r="S1047"/>
      <c r="T1047"/>
      <c r="U1047"/>
      <c r="V1047"/>
      <c r="W1047">
        <v>18</v>
      </c>
    </row>
    <row r="1048" spans="1:23">
      <c r="A1048"/>
      <c r="B1048" t="s">
        <v>121</v>
      </c>
      <c r="C1048" t="s">
        <v>121</v>
      </c>
      <c r="D1048" t="s">
        <v>33</v>
      </c>
      <c r="E1048" t="s">
        <v>34</v>
      </c>
      <c r="F1048" t="str">
        <f>"0014668"</f>
        <v>0014668</v>
      </c>
      <c r="G1048">
        <v>1</v>
      </c>
      <c r="H1048" t="str">
        <f>"00000001"</f>
        <v>00000001</v>
      </c>
      <c r="I1048" t="s">
        <v>35</v>
      </c>
      <c r="J1048"/>
      <c r="K1048">
        <v>2.54</v>
      </c>
      <c r="L1048">
        <v>0.0</v>
      </c>
      <c r="M1048"/>
      <c r="N1048"/>
      <c r="O1048">
        <v>0.46</v>
      </c>
      <c r="P1048">
        <v>0.0</v>
      </c>
      <c r="Q1048">
        <v>3.0</v>
      </c>
      <c r="R1048"/>
      <c r="S1048"/>
      <c r="T1048"/>
      <c r="U1048"/>
      <c r="V1048"/>
      <c r="W1048">
        <v>18</v>
      </c>
    </row>
    <row r="1049" spans="1:23">
      <c r="A1049"/>
      <c r="B1049" t="s">
        <v>121</v>
      </c>
      <c r="C1049" t="s">
        <v>121</v>
      </c>
      <c r="D1049" t="s">
        <v>33</v>
      </c>
      <c r="E1049" t="s">
        <v>34</v>
      </c>
      <c r="F1049" t="str">
        <f>"0014669"</f>
        <v>0014669</v>
      </c>
      <c r="G1049">
        <v>1</v>
      </c>
      <c r="H1049" t="str">
        <f>"00000001"</f>
        <v>00000001</v>
      </c>
      <c r="I1049" t="s">
        <v>35</v>
      </c>
      <c r="J1049"/>
      <c r="K1049">
        <v>6.78</v>
      </c>
      <c r="L1049">
        <v>0.0</v>
      </c>
      <c r="M1049"/>
      <c r="N1049"/>
      <c r="O1049">
        <v>1.22</v>
      </c>
      <c r="P1049">
        <v>0.0</v>
      </c>
      <c r="Q1049">
        <v>8.0</v>
      </c>
      <c r="R1049"/>
      <c r="S1049"/>
      <c r="T1049"/>
      <c r="U1049"/>
      <c r="V1049"/>
      <c r="W1049">
        <v>18</v>
      </c>
    </row>
    <row r="1050" spans="1:23">
      <c r="A1050"/>
      <c r="B1050" t="s">
        <v>121</v>
      </c>
      <c r="C1050" t="s">
        <v>121</v>
      </c>
      <c r="D1050" t="s">
        <v>33</v>
      </c>
      <c r="E1050" t="s">
        <v>34</v>
      </c>
      <c r="F1050" t="str">
        <f>"0014670"</f>
        <v>0014670</v>
      </c>
      <c r="G1050">
        <v>1</v>
      </c>
      <c r="H1050" t="str">
        <f>"00000001"</f>
        <v>00000001</v>
      </c>
      <c r="I1050" t="s">
        <v>35</v>
      </c>
      <c r="J1050"/>
      <c r="K1050">
        <v>7.63</v>
      </c>
      <c r="L1050">
        <v>0.0</v>
      </c>
      <c r="M1050"/>
      <c r="N1050"/>
      <c r="O1050">
        <v>1.37</v>
      </c>
      <c r="P1050">
        <v>0.0</v>
      </c>
      <c r="Q1050">
        <v>9.0</v>
      </c>
      <c r="R1050"/>
      <c r="S1050"/>
      <c r="T1050"/>
      <c r="U1050"/>
      <c r="V1050"/>
      <c r="W1050">
        <v>18</v>
      </c>
    </row>
    <row r="1051" spans="1:23">
      <c r="A1051"/>
      <c r="B1051" t="s">
        <v>121</v>
      </c>
      <c r="C1051" t="s">
        <v>121</v>
      </c>
      <c r="D1051" t="s">
        <v>33</v>
      </c>
      <c r="E1051" t="s">
        <v>34</v>
      </c>
      <c r="F1051" t="str">
        <f>"0014671"</f>
        <v>0014671</v>
      </c>
      <c r="G1051">
        <v>1</v>
      </c>
      <c r="H1051" t="str">
        <f>"00000001"</f>
        <v>00000001</v>
      </c>
      <c r="I1051" t="s">
        <v>35</v>
      </c>
      <c r="J1051"/>
      <c r="K1051">
        <v>4.66</v>
      </c>
      <c r="L1051">
        <v>0.0</v>
      </c>
      <c r="M1051"/>
      <c r="N1051"/>
      <c r="O1051">
        <v>0.84</v>
      </c>
      <c r="P1051">
        <v>0.0</v>
      </c>
      <c r="Q1051">
        <v>5.5</v>
      </c>
      <c r="R1051"/>
      <c r="S1051"/>
      <c r="T1051"/>
      <c r="U1051"/>
      <c r="V1051"/>
      <c r="W1051">
        <v>18</v>
      </c>
    </row>
    <row r="1052" spans="1:23">
      <c r="A1052"/>
      <c r="B1052" t="s">
        <v>121</v>
      </c>
      <c r="C1052" t="s">
        <v>121</v>
      </c>
      <c r="D1052" t="s">
        <v>33</v>
      </c>
      <c r="E1052" t="s">
        <v>34</v>
      </c>
      <c r="F1052" t="str">
        <f>"0014672"</f>
        <v>0014672</v>
      </c>
      <c r="G1052">
        <v>1</v>
      </c>
      <c r="H1052" t="str">
        <f>"00000001"</f>
        <v>00000001</v>
      </c>
      <c r="I1052" t="s">
        <v>35</v>
      </c>
      <c r="J1052"/>
      <c r="K1052">
        <v>3.39</v>
      </c>
      <c r="L1052">
        <v>0.0</v>
      </c>
      <c r="M1052"/>
      <c r="N1052"/>
      <c r="O1052">
        <v>0.61</v>
      </c>
      <c r="P1052">
        <v>0.0</v>
      </c>
      <c r="Q1052">
        <v>4.0</v>
      </c>
      <c r="R1052"/>
      <c r="S1052"/>
      <c r="T1052"/>
      <c r="U1052"/>
      <c r="V1052"/>
      <c r="W1052">
        <v>18</v>
      </c>
    </row>
    <row r="1053" spans="1:23">
      <c r="A1053"/>
      <c r="B1053" t="s">
        <v>121</v>
      </c>
      <c r="C1053" t="s">
        <v>121</v>
      </c>
      <c r="D1053" t="s">
        <v>33</v>
      </c>
      <c r="E1053" t="s">
        <v>34</v>
      </c>
      <c r="F1053" t="str">
        <f>"0014673"</f>
        <v>0014673</v>
      </c>
      <c r="G1053">
        <v>1</v>
      </c>
      <c r="H1053" t="str">
        <f>"00000001"</f>
        <v>00000001</v>
      </c>
      <c r="I1053" t="s">
        <v>35</v>
      </c>
      <c r="J1053"/>
      <c r="K1053">
        <v>5.93</v>
      </c>
      <c r="L1053">
        <v>0.0</v>
      </c>
      <c r="M1053"/>
      <c r="N1053"/>
      <c r="O1053">
        <v>1.07</v>
      </c>
      <c r="P1053">
        <v>0.0</v>
      </c>
      <c r="Q1053">
        <v>7.0</v>
      </c>
      <c r="R1053"/>
      <c r="S1053"/>
      <c r="T1053"/>
      <c r="U1053"/>
      <c r="V1053"/>
      <c r="W1053">
        <v>18</v>
      </c>
    </row>
    <row r="1054" spans="1:23">
      <c r="A1054"/>
      <c r="B1054" t="s">
        <v>121</v>
      </c>
      <c r="C1054" t="s">
        <v>121</v>
      </c>
      <c r="D1054" t="s">
        <v>33</v>
      </c>
      <c r="E1054" t="s">
        <v>34</v>
      </c>
      <c r="F1054" t="str">
        <f>"0014674"</f>
        <v>0014674</v>
      </c>
      <c r="G1054">
        <v>1</v>
      </c>
      <c r="H1054" t="str">
        <f>"00000001"</f>
        <v>00000001</v>
      </c>
      <c r="I1054" t="s">
        <v>35</v>
      </c>
      <c r="J1054"/>
      <c r="K1054">
        <v>23.73</v>
      </c>
      <c r="L1054">
        <v>0.0</v>
      </c>
      <c r="M1054"/>
      <c r="N1054"/>
      <c r="O1054">
        <v>4.27</v>
      </c>
      <c r="P1054">
        <v>0.0</v>
      </c>
      <c r="Q1054">
        <v>28.0</v>
      </c>
      <c r="R1054"/>
      <c r="S1054"/>
      <c r="T1054"/>
      <c r="U1054"/>
      <c r="V1054"/>
      <c r="W1054">
        <v>18</v>
      </c>
    </row>
    <row r="1055" spans="1:23">
      <c r="A1055"/>
      <c r="B1055" t="s">
        <v>121</v>
      </c>
      <c r="C1055" t="s">
        <v>121</v>
      </c>
      <c r="D1055" t="s">
        <v>33</v>
      </c>
      <c r="E1055" t="s">
        <v>34</v>
      </c>
      <c r="F1055" t="str">
        <f>"0014675"</f>
        <v>0014675</v>
      </c>
      <c r="G1055">
        <v>1</v>
      </c>
      <c r="H1055" t="str">
        <f>"00000001"</f>
        <v>00000001</v>
      </c>
      <c r="I1055" t="s">
        <v>35</v>
      </c>
      <c r="J1055"/>
      <c r="K1055">
        <v>10.59</v>
      </c>
      <c r="L1055">
        <v>0.0</v>
      </c>
      <c r="M1055"/>
      <c r="N1055"/>
      <c r="O1055">
        <v>1.91</v>
      </c>
      <c r="P1055">
        <v>0.0</v>
      </c>
      <c r="Q1055">
        <v>12.5</v>
      </c>
      <c r="R1055"/>
      <c r="S1055"/>
      <c r="T1055"/>
      <c r="U1055"/>
      <c r="V1055"/>
      <c r="W1055">
        <v>18</v>
      </c>
    </row>
    <row r="1056" spans="1:23">
      <c r="A1056"/>
      <c r="B1056" t="s">
        <v>121</v>
      </c>
      <c r="C1056" t="s">
        <v>121</v>
      </c>
      <c r="D1056" t="s">
        <v>33</v>
      </c>
      <c r="E1056" t="s">
        <v>34</v>
      </c>
      <c r="F1056" t="str">
        <f>"0014676"</f>
        <v>0014676</v>
      </c>
      <c r="G1056">
        <v>1</v>
      </c>
      <c r="H1056" t="str">
        <f>"00000001"</f>
        <v>00000001</v>
      </c>
      <c r="I1056" t="s">
        <v>35</v>
      </c>
      <c r="J1056"/>
      <c r="K1056">
        <v>4.24</v>
      </c>
      <c r="L1056">
        <v>0.0</v>
      </c>
      <c r="M1056"/>
      <c r="N1056"/>
      <c r="O1056">
        <v>0.76</v>
      </c>
      <c r="P1056">
        <v>0.0</v>
      </c>
      <c r="Q1056">
        <v>5.0</v>
      </c>
      <c r="R1056"/>
      <c r="S1056"/>
      <c r="T1056"/>
      <c r="U1056"/>
      <c r="V1056"/>
      <c r="W1056">
        <v>18</v>
      </c>
    </row>
    <row r="1057" spans="1:23">
      <c r="A1057"/>
      <c r="B1057" t="s">
        <v>121</v>
      </c>
      <c r="C1057" t="s">
        <v>121</v>
      </c>
      <c r="D1057" t="s">
        <v>33</v>
      </c>
      <c r="E1057" t="s">
        <v>34</v>
      </c>
      <c r="F1057" t="str">
        <f>"0014677"</f>
        <v>0014677</v>
      </c>
      <c r="G1057">
        <v>1</v>
      </c>
      <c r="H1057" t="str">
        <f>"00000001"</f>
        <v>00000001</v>
      </c>
      <c r="I1057" t="s">
        <v>35</v>
      </c>
      <c r="J1057"/>
      <c r="K1057">
        <v>21.19</v>
      </c>
      <c r="L1057">
        <v>0.0</v>
      </c>
      <c r="M1057"/>
      <c r="N1057"/>
      <c r="O1057">
        <v>3.81</v>
      </c>
      <c r="P1057">
        <v>0.0</v>
      </c>
      <c r="Q1057">
        <v>25.0</v>
      </c>
      <c r="R1057"/>
      <c r="S1057"/>
      <c r="T1057"/>
      <c r="U1057"/>
      <c r="V1057"/>
      <c r="W1057">
        <v>18</v>
      </c>
    </row>
    <row r="1058" spans="1:23">
      <c r="A1058"/>
      <c r="B1058" t="s">
        <v>121</v>
      </c>
      <c r="C1058" t="s">
        <v>121</v>
      </c>
      <c r="D1058" t="s">
        <v>33</v>
      </c>
      <c r="E1058" t="s">
        <v>34</v>
      </c>
      <c r="F1058" t="str">
        <f>"0014678"</f>
        <v>0014678</v>
      </c>
      <c r="G1058">
        <v>1</v>
      </c>
      <c r="H1058" t="str">
        <f>"00000001"</f>
        <v>00000001</v>
      </c>
      <c r="I1058" t="s">
        <v>35</v>
      </c>
      <c r="J1058"/>
      <c r="K1058">
        <v>3.81</v>
      </c>
      <c r="L1058">
        <v>0.0</v>
      </c>
      <c r="M1058"/>
      <c r="N1058"/>
      <c r="O1058">
        <v>0.69</v>
      </c>
      <c r="P1058">
        <v>0.0</v>
      </c>
      <c r="Q1058">
        <v>4.5</v>
      </c>
      <c r="R1058"/>
      <c r="S1058"/>
      <c r="T1058"/>
      <c r="U1058"/>
      <c r="V1058"/>
      <c r="W1058">
        <v>18</v>
      </c>
    </row>
    <row r="1059" spans="1:23">
      <c r="A1059"/>
      <c r="B1059" t="s">
        <v>121</v>
      </c>
      <c r="C1059" t="s">
        <v>121</v>
      </c>
      <c r="D1059" t="s">
        <v>33</v>
      </c>
      <c r="E1059" t="s">
        <v>34</v>
      </c>
      <c r="F1059" t="str">
        <f>"0014679"</f>
        <v>0014679</v>
      </c>
      <c r="G1059">
        <v>1</v>
      </c>
      <c r="H1059" t="str">
        <f>"00000001"</f>
        <v>00000001</v>
      </c>
      <c r="I1059" t="s">
        <v>35</v>
      </c>
      <c r="J1059"/>
      <c r="K1059">
        <v>13.56</v>
      </c>
      <c r="L1059">
        <v>0.0</v>
      </c>
      <c r="M1059"/>
      <c r="N1059"/>
      <c r="O1059">
        <v>2.44</v>
      </c>
      <c r="P1059">
        <v>0.0</v>
      </c>
      <c r="Q1059">
        <v>16.0</v>
      </c>
      <c r="R1059"/>
      <c r="S1059"/>
      <c r="T1059"/>
      <c r="U1059"/>
      <c r="V1059"/>
      <c r="W1059">
        <v>18</v>
      </c>
    </row>
    <row r="1060" spans="1:23">
      <c r="A1060"/>
      <c r="B1060" t="s">
        <v>121</v>
      </c>
      <c r="C1060" t="s">
        <v>121</v>
      </c>
      <c r="D1060" t="s">
        <v>33</v>
      </c>
      <c r="E1060" t="s">
        <v>34</v>
      </c>
      <c r="F1060" t="str">
        <f>"0014680"</f>
        <v>0014680</v>
      </c>
      <c r="G1060">
        <v>1</v>
      </c>
      <c r="H1060" t="str">
        <f>"00000001"</f>
        <v>00000001</v>
      </c>
      <c r="I1060" t="s">
        <v>35</v>
      </c>
      <c r="J1060"/>
      <c r="K1060">
        <v>148.31</v>
      </c>
      <c r="L1060">
        <v>0.0</v>
      </c>
      <c r="M1060"/>
      <c r="N1060"/>
      <c r="O1060">
        <v>26.69</v>
      </c>
      <c r="P1060">
        <v>0.0</v>
      </c>
      <c r="Q1060">
        <v>175.0</v>
      </c>
      <c r="R1060"/>
      <c r="S1060"/>
      <c r="T1060"/>
      <c r="U1060"/>
      <c r="V1060"/>
      <c r="W1060">
        <v>18</v>
      </c>
    </row>
    <row r="1061" spans="1:23">
      <c r="A1061"/>
      <c r="B1061" t="s">
        <v>121</v>
      </c>
      <c r="C1061" t="s">
        <v>121</v>
      </c>
      <c r="D1061" t="s">
        <v>33</v>
      </c>
      <c r="E1061" t="s">
        <v>34</v>
      </c>
      <c r="F1061" t="str">
        <f>"0014681"</f>
        <v>0014681</v>
      </c>
      <c r="G1061">
        <v>1</v>
      </c>
      <c r="H1061" t="str">
        <f>"70658712"</f>
        <v>70658712</v>
      </c>
      <c r="I1061" t="s">
        <v>50</v>
      </c>
      <c r="J1061"/>
      <c r="K1061">
        <v>0.85</v>
      </c>
      <c r="L1061">
        <v>0.0</v>
      </c>
      <c r="M1061"/>
      <c r="N1061"/>
      <c r="O1061">
        <v>0.15</v>
      </c>
      <c r="P1061">
        <v>0.0</v>
      </c>
      <c r="Q1061">
        <v>1.0</v>
      </c>
      <c r="R1061"/>
      <c r="S1061"/>
      <c r="T1061"/>
      <c r="U1061"/>
      <c r="V1061"/>
      <c r="W1061">
        <v>18</v>
      </c>
    </row>
    <row r="1062" spans="1:23">
      <c r="A1062"/>
      <c r="B1062" t="s">
        <v>121</v>
      </c>
      <c r="C1062" t="s">
        <v>121</v>
      </c>
      <c r="D1062" t="s">
        <v>33</v>
      </c>
      <c r="E1062" t="s">
        <v>34</v>
      </c>
      <c r="F1062" t="str">
        <f>"0014682"</f>
        <v>0014682</v>
      </c>
      <c r="G1062">
        <v>1</v>
      </c>
      <c r="H1062" t="str">
        <f>"70658712"</f>
        <v>70658712</v>
      </c>
      <c r="I1062" t="s">
        <v>50</v>
      </c>
      <c r="J1062"/>
      <c r="K1062">
        <v>8.47</v>
      </c>
      <c r="L1062">
        <v>0.0</v>
      </c>
      <c r="M1062"/>
      <c r="N1062"/>
      <c r="O1062">
        <v>1.53</v>
      </c>
      <c r="P1062">
        <v>0.0</v>
      </c>
      <c r="Q1062">
        <v>10.0</v>
      </c>
      <c r="R1062"/>
      <c r="S1062"/>
      <c r="T1062"/>
      <c r="U1062"/>
      <c r="V1062"/>
      <c r="W1062">
        <v>18</v>
      </c>
    </row>
    <row r="1063" spans="1:23">
      <c r="A1063"/>
      <c r="B1063" t="s">
        <v>121</v>
      </c>
      <c r="C1063" t="s">
        <v>121</v>
      </c>
      <c r="D1063" t="s">
        <v>33</v>
      </c>
      <c r="E1063" t="s">
        <v>34</v>
      </c>
      <c r="F1063" t="str">
        <f>"0014683"</f>
        <v>0014683</v>
      </c>
      <c r="G1063">
        <v>1</v>
      </c>
      <c r="H1063" t="str">
        <f>"00000001"</f>
        <v>00000001</v>
      </c>
      <c r="I1063" t="s">
        <v>35</v>
      </c>
      <c r="J1063"/>
      <c r="K1063">
        <v>13.98</v>
      </c>
      <c r="L1063">
        <v>0.0</v>
      </c>
      <c r="M1063"/>
      <c r="N1063"/>
      <c r="O1063">
        <v>2.52</v>
      </c>
      <c r="P1063">
        <v>0.0</v>
      </c>
      <c r="Q1063">
        <v>16.5</v>
      </c>
      <c r="R1063"/>
      <c r="S1063"/>
      <c r="T1063"/>
      <c r="U1063"/>
      <c r="V1063"/>
      <c r="W1063">
        <v>18</v>
      </c>
    </row>
    <row r="1064" spans="1:23">
      <c r="A1064"/>
      <c r="B1064" t="s">
        <v>121</v>
      </c>
      <c r="C1064" t="s">
        <v>121</v>
      </c>
      <c r="D1064" t="s">
        <v>33</v>
      </c>
      <c r="E1064" t="s">
        <v>34</v>
      </c>
      <c r="F1064" t="str">
        <f>"0014684"</f>
        <v>0014684</v>
      </c>
      <c r="G1064">
        <v>1</v>
      </c>
      <c r="H1064" t="str">
        <f>"00000001"</f>
        <v>00000001</v>
      </c>
      <c r="I1064" t="s">
        <v>35</v>
      </c>
      <c r="J1064"/>
      <c r="K1064">
        <v>25.42</v>
      </c>
      <c r="L1064">
        <v>0.0</v>
      </c>
      <c r="M1064"/>
      <c r="N1064"/>
      <c r="O1064">
        <v>4.58</v>
      </c>
      <c r="P1064">
        <v>0.0</v>
      </c>
      <c r="Q1064">
        <v>30.0</v>
      </c>
      <c r="R1064"/>
      <c r="S1064"/>
      <c r="T1064"/>
      <c r="U1064"/>
      <c r="V1064"/>
      <c r="W1064">
        <v>18</v>
      </c>
    </row>
    <row r="1065" spans="1:23">
      <c r="A1065"/>
      <c r="B1065" t="s">
        <v>121</v>
      </c>
      <c r="C1065" t="s">
        <v>121</v>
      </c>
      <c r="D1065" t="s">
        <v>33</v>
      </c>
      <c r="E1065" t="s">
        <v>34</v>
      </c>
      <c r="F1065" t="str">
        <f>"0014685"</f>
        <v>0014685</v>
      </c>
      <c r="G1065">
        <v>1</v>
      </c>
      <c r="H1065" t="str">
        <f>"00000001"</f>
        <v>00000001</v>
      </c>
      <c r="I1065" t="s">
        <v>35</v>
      </c>
      <c r="J1065"/>
      <c r="K1065">
        <v>0.85</v>
      </c>
      <c r="L1065">
        <v>0.0</v>
      </c>
      <c r="M1065"/>
      <c r="N1065"/>
      <c r="O1065">
        <v>0.15</v>
      </c>
      <c r="P1065">
        <v>0.0</v>
      </c>
      <c r="Q1065">
        <v>1.0</v>
      </c>
      <c r="R1065"/>
      <c r="S1065"/>
      <c r="T1065"/>
      <c r="U1065"/>
      <c r="V1065"/>
      <c r="W1065">
        <v>18</v>
      </c>
    </row>
    <row r="1066" spans="1:23">
      <c r="A1066"/>
      <c r="B1066" t="s">
        <v>121</v>
      </c>
      <c r="C1066" t="s">
        <v>121</v>
      </c>
      <c r="D1066" t="s">
        <v>33</v>
      </c>
      <c r="E1066" t="s">
        <v>34</v>
      </c>
      <c r="F1066" t="str">
        <f>"0014686"</f>
        <v>0014686</v>
      </c>
      <c r="G1066">
        <v>1</v>
      </c>
      <c r="H1066" t="str">
        <f>"70658712"</f>
        <v>70658712</v>
      </c>
      <c r="I1066" t="s">
        <v>50</v>
      </c>
      <c r="J1066"/>
      <c r="K1066">
        <v>2.12</v>
      </c>
      <c r="L1066">
        <v>0.0</v>
      </c>
      <c r="M1066"/>
      <c r="N1066"/>
      <c r="O1066">
        <v>0.38</v>
      </c>
      <c r="P1066">
        <v>0.0</v>
      </c>
      <c r="Q1066">
        <v>2.5</v>
      </c>
      <c r="R1066"/>
      <c r="S1066"/>
      <c r="T1066"/>
      <c r="U1066"/>
      <c r="V1066"/>
      <c r="W1066">
        <v>18</v>
      </c>
    </row>
    <row r="1067" spans="1:23">
      <c r="A1067"/>
      <c r="B1067" t="s">
        <v>121</v>
      </c>
      <c r="C1067" t="s">
        <v>121</v>
      </c>
      <c r="D1067" t="s">
        <v>33</v>
      </c>
      <c r="E1067" t="s">
        <v>34</v>
      </c>
      <c r="F1067" t="str">
        <f>"0014687"</f>
        <v>0014687</v>
      </c>
      <c r="G1067">
        <v>1</v>
      </c>
      <c r="H1067" t="str">
        <f>"00000001"</f>
        <v>00000001</v>
      </c>
      <c r="I1067" t="s">
        <v>35</v>
      </c>
      <c r="J1067"/>
      <c r="K1067">
        <v>4.24</v>
      </c>
      <c r="L1067">
        <v>0.0</v>
      </c>
      <c r="M1067"/>
      <c r="N1067"/>
      <c r="O1067">
        <v>0.76</v>
      </c>
      <c r="P1067">
        <v>0.0</v>
      </c>
      <c r="Q1067">
        <v>5.0</v>
      </c>
      <c r="R1067"/>
      <c r="S1067"/>
      <c r="T1067"/>
      <c r="U1067"/>
      <c r="V1067"/>
      <c r="W1067">
        <v>18</v>
      </c>
    </row>
    <row r="1068" spans="1:23">
      <c r="A1068"/>
      <c r="B1068" t="s">
        <v>121</v>
      </c>
      <c r="C1068" t="s">
        <v>121</v>
      </c>
      <c r="D1068" t="s">
        <v>33</v>
      </c>
      <c r="E1068" t="s">
        <v>34</v>
      </c>
      <c r="F1068" t="str">
        <f>"0014688"</f>
        <v>0014688</v>
      </c>
      <c r="G1068">
        <v>1</v>
      </c>
      <c r="H1068" t="str">
        <f>"00000001"</f>
        <v>00000001</v>
      </c>
      <c r="I1068" t="s">
        <v>35</v>
      </c>
      <c r="J1068"/>
      <c r="K1068">
        <v>3.39</v>
      </c>
      <c r="L1068">
        <v>0.0</v>
      </c>
      <c r="M1068"/>
      <c r="N1068"/>
      <c r="O1068">
        <v>0.61</v>
      </c>
      <c r="P1068">
        <v>0.0</v>
      </c>
      <c r="Q1068">
        <v>4.0</v>
      </c>
      <c r="R1068"/>
      <c r="S1068"/>
      <c r="T1068"/>
      <c r="U1068"/>
      <c r="V1068"/>
      <c r="W1068">
        <v>18</v>
      </c>
    </row>
    <row r="1069" spans="1:23">
      <c r="A1069"/>
      <c r="B1069" t="s">
        <v>121</v>
      </c>
      <c r="C1069" t="s">
        <v>121</v>
      </c>
      <c r="D1069" t="s">
        <v>33</v>
      </c>
      <c r="E1069" t="s">
        <v>34</v>
      </c>
      <c r="F1069" t="str">
        <f>"0014689"</f>
        <v>0014689</v>
      </c>
      <c r="G1069">
        <v>1</v>
      </c>
      <c r="H1069" t="str">
        <f>"00000001"</f>
        <v>00000001</v>
      </c>
      <c r="I1069" t="s">
        <v>35</v>
      </c>
      <c r="J1069"/>
      <c r="K1069">
        <v>35.59</v>
      </c>
      <c r="L1069">
        <v>0.0</v>
      </c>
      <c r="M1069"/>
      <c r="N1069"/>
      <c r="O1069">
        <v>6.41</v>
      </c>
      <c r="P1069">
        <v>0.0</v>
      </c>
      <c r="Q1069">
        <v>42.0</v>
      </c>
      <c r="R1069"/>
      <c r="S1069"/>
      <c r="T1069"/>
      <c r="U1069"/>
      <c r="V1069"/>
      <c r="W1069">
        <v>18</v>
      </c>
    </row>
    <row r="1070" spans="1:23">
      <c r="A1070"/>
      <c r="B1070" t="s">
        <v>121</v>
      </c>
      <c r="C1070" t="s">
        <v>121</v>
      </c>
      <c r="D1070" t="s">
        <v>33</v>
      </c>
      <c r="E1070" t="s">
        <v>34</v>
      </c>
      <c r="F1070" t="str">
        <f>"0014690"</f>
        <v>0014690</v>
      </c>
      <c r="G1070">
        <v>1</v>
      </c>
      <c r="H1070" t="str">
        <f>"00000001"</f>
        <v>00000001</v>
      </c>
      <c r="I1070" t="s">
        <v>35</v>
      </c>
      <c r="J1070"/>
      <c r="K1070">
        <v>12.71</v>
      </c>
      <c r="L1070">
        <v>0.0</v>
      </c>
      <c r="M1070"/>
      <c r="N1070"/>
      <c r="O1070">
        <v>2.29</v>
      </c>
      <c r="P1070">
        <v>0.0</v>
      </c>
      <c r="Q1070">
        <v>15.0</v>
      </c>
      <c r="R1070"/>
      <c r="S1070"/>
      <c r="T1070"/>
      <c r="U1070"/>
      <c r="V1070"/>
      <c r="W1070">
        <v>18</v>
      </c>
    </row>
    <row r="1071" spans="1:23">
      <c r="A1071"/>
      <c r="B1071" t="s">
        <v>121</v>
      </c>
      <c r="C1071" t="s">
        <v>121</v>
      </c>
      <c r="D1071" t="s">
        <v>33</v>
      </c>
      <c r="E1071" t="s">
        <v>34</v>
      </c>
      <c r="F1071" t="str">
        <f>"0014691"</f>
        <v>0014691</v>
      </c>
      <c r="G1071">
        <v>1</v>
      </c>
      <c r="H1071" t="str">
        <f>"00000001"</f>
        <v>00000001</v>
      </c>
      <c r="I1071" t="s">
        <v>35</v>
      </c>
      <c r="J1071"/>
      <c r="K1071">
        <v>70.34</v>
      </c>
      <c r="L1071">
        <v>0.0</v>
      </c>
      <c r="M1071"/>
      <c r="N1071"/>
      <c r="O1071">
        <v>12.66</v>
      </c>
      <c r="P1071">
        <v>0.0</v>
      </c>
      <c r="Q1071">
        <v>83.0</v>
      </c>
      <c r="R1071"/>
      <c r="S1071"/>
      <c r="T1071"/>
      <c r="U1071"/>
      <c r="V1071"/>
      <c r="W1071">
        <v>18</v>
      </c>
    </row>
    <row r="1072" spans="1:23">
      <c r="A1072"/>
      <c r="B1072" t="s">
        <v>121</v>
      </c>
      <c r="C1072" t="s">
        <v>121</v>
      </c>
      <c r="D1072" t="s">
        <v>33</v>
      </c>
      <c r="E1072" t="s">
        <v>34</v>
      </c>
      <c r="F1072" t="str">
        <f>"0014692"</f>
        <v>0014692</v>
      </c>
      <c r="G1072">
        <v>1</v>
      </c>
      <c r="H1072" t="str">
        <f>"00000001"</f>
        <v>00000001</v>
      </c>
      <c r="I1072" t="s">
        <v>35</v>
      </c>
      <c r="J1072"/>
      <c r="K1072">
        <v>67.37</v>
      </c>
      <c r="L1072">
        <v>0.0</v>
      </c>
      <c r="M1072"/>
      <c r="N1072"/>
      <c r="O1072">
        <v>12.13</v>
      </c>
      <c r="P1072">
        <v>0.0</v>
      </c>
      <c r="Q1072">
        <v>79.5</v>
      </c>
      <c r="R1072"/>
      <c r="S1072"/>
      <c r="T1072"/>
      <c r="U1072"/>
      <c r="V1072"/>
      <c r="W1072">
        <v>18</v>
      </c>
    </row>
    <row r="1073" spans="1:23">
      <c r="A1073"/>
      <c r="B1073" t="s">
        <v>121</v>
      </c>
      <c r="C1073" t="s">
        <v>121</v>
      </c>
      <c r="D1073" t="s">
        <v>33</v>
      </c>
      <c r="E1073" t="s">
        <v>34</v>
      </c>
      <c r="F1073" t="str">
        <f>"0014693"</f>
        <v>0014693</v>
      </c>
      <c r="G1073">
        <v>1</v>
      </c>
      <c r="H1073" t="str">
        <f>"00000001"</f>
        <v>00000001</v>
      </c>
      <c r="I1073" t="s">
        <v>35</v>
      </c>
      <c r="J1073"/>
      <c r="K1073">
        <v>2.54</v>
      </c>
      <c r="L1073">
        <v>0.0</v>
      </c>
      <c r="M1073"/>
      <c r="N1073"/>
      <c r="O1073">
        <v>0.46</v>
      </c>
      <c r="P1073">
        <v>0.0</v>
      </c>
      <c r="Q1073">
        <v>3.0</v>
      </c>
      <c r="R1073"/>
      <c r="S1073"/>
      <c r="T1073"/>
      <c r="U1073"/>
      <c r="V1073"/>
      <c r="W1073">
        <v>18</v>
      </c>
    </row>
    <row r="1074" spans="1:23">
      <c r="A1074"/>
      <c r="B1074" t="s">
        <v>121</v>
      </c>
      <c r="C1074" t="s">
        <v>121</v>
      </c>
      <c r="D1074" t="s">
        <v>33</v>
      </c>
      <c r="E1074" t="s">
        <v>34</v>
      </c>
      <c r="F1074" t="str">
        <f>"0014694"</f>
        <v>0014694</v>
      </c>
      <c r="G1074">
        <v>1</v>
      </c>
      <c r="H1074" t="str">
        <f>"00000001"</f>
        <v>00000001</v>
      </c>
      <c r="I1074" t="s">
        <v>35</v>
      </c>
      <c r="J1074"/>
      <c r="K1074">
        <v>12.71</v>
      </c>
      <c r="L1074">
        <v>0.0</v>
      </c>
      <c r="M1074"/>
      <c r="N1074"/>
      <c r="O1074">
        <v>2.29</v>
      </c>
      <c r="P1074">
        <v>0.0</v>
      </c>
      <c r="Q1074">
        <v>15.0</v>
      </c>
      <c r="R1074"/>
      <c r="S1074"/>
      <c r="T1074"/>
      <c r="U1074"/>
      <c r="V1074"/>
      <c r="W1074">
        <v>18</v>
      </c>
    </row>
    <row r="1075" spans="1:23">
      <c r="A1075"/>
      <c r="B1075" t="s">
        <v>121</v>
      </c>
      <c r="C1075" t="s">
        <v>121</v>
      </c>
      <c r="D1075" t="s">
        <v>33</v>
      </c>
      <c r="E1075" t="s">
        <v>34</v>
      </c>
      <c r="F1075" t="str">
        <f>"0014695"</f>
        <v>0014695</v>
      </c>
      <c r="G1075">
        <v>1</v>
      </c>
      <c r="H1075" t="str">
        <f>"00000001"</f>
        <v>00000001</v>
      </c>
      <c r="I1075" t="s">
        <v>35</v>
      </c>
      <c r="J1075"/>
      <c r="K1075">
        <v>2.54</v>
      </c>
      <c r="L1075">
        <v>0.0</v>
      </c>
      <c r="M1075"/>
      <c r="N1075"/>
      <c r="O1075">
        <v>0.46</v>
      </c>
      <c r="P1075">
        <v>0.0</v>
      </c>
      <c r="Q1075">
        <v>3.0</v>
      </c>
      <c r="R1075"/>
      <c r="S1075"/>
      <c r="T1075"/>
      <c r="U1075"/>
      <c r="V1075"/>
      <c r="W1075">
        <v>18</v>
      </c>
    </row>
    <row r="1076" spans="1:23">
      <c r="A1076"/>
      <c r="B1076" t="s">
        <v>121</v>
      </c>
      <c r="C1076" t="s">
        <v>121</v>
      </c>
      <c r="D1076" t="s">
        <v>33</v>
      </c>
      <c r="E1076" t="s">
        <v>34</v>
      </c>
      <c r="F1076" t="str">
        <f>"0014696"</f>
        <v>0014696</v>
      </c>
      <c r="G1076">
        <v>1</v>
      </c>
      <c r="H1076" t="str">
        <f>"00000001"</f>
        <v>00000001</v>
      </c>
      <c r="I1076" t="s">
        <v>35</v>
      </c>
      <c r="J1076"/>
      <c r="K1076">
        <v>6.78</v>
      </c>
      <c r="L1076">
        <v>0.0</v>
      </c>
      <c r="M1076"/>
      <c r="N1076"/>
      <c r="O1076">
        <v>1.22</v>
      </c>
      <c r="P1076">
        <v>0.0</v>
      </c>
      <c r="Q1076">
        <v>8.0</v>
      </c>
      <c r="R1076"/>
      <c r="S1076"/>
      <c r="T1076"/>
      <c r="U1076"/>
      <c r="V1076"/>
      <c r="W1076">
        <v>18</v>
      </c>
    </row>
    <row r="1077" spans="1:23">
      <c r="A1077"/>
      <c r="B1077" t="s">
        <v>121</v>
      </c>
      <c r="C1077" t="s">
        <v>121</v>
      </c>
      <c r="D1077" t="s">
        <v>33</v>
      </c>
      <c r="E1077" t="s">
        <v>34</v>
      </c>
      <c r="F1077" t="str">
        <f>"0014697"</f>
        <v>0014697</v>
      </c>
      <c r="G1077">
        <v>1</v>
      </c>
      <c r="H1077" t="str">
        <f>"00000001"</f>
        <v>00000001</v>
      </c>
      <c r="I1077" t="s">
        <v>35</v>
      </c>
      <c r="J1077"/>
      <c r="K1077">
        <v>26.48</v>
      </c>
      <c r="L1077">
        <v>0.0</v>
      </c>
      <c r="M1077"/>
      <c r="N1077"/>
      <c r="O1077">
        <v>4.77</v>
      </c>
      <c r="P1077">
        <v>0.0</v>
      </c>
      <c r="Q1077">
        <v>31.25</v>
      </c>
      <c r="R1077"/>
      <c r="S1077"/>
      <c r="T1077"/>
      <c r="U1077"/>
      <c r="V1077"/>
      <c r="W1077">
        <v>18</v>
      </c>
    </row>
    <row r="1078" spans="1:23">
      <c r="A1078"/>
      <c r="B1078" t="s">
        <v>121</v>
      </c>
      <c r="C1078" t="s">
        <v>121</v>
      </c>
      <c r="D1078" t="s">
        <v>33</v>
      </c>
      <c r="E1078" t="s">
        <v>34</v>
      </c>
      <c r="F1078" t="str">
        <f>"0014698"</f>
        <v>0014698</v>
      </c>
      <c r="G1078">
        <v>1</v>
      </c>
      <c r="H1078" t="str">
        <f>"00000001"</f>
        <v>00000001</v>
      </c>
      <c r="I1078" t="s">
        <v>35</v>
      </c>
      <c r="J1078"/>
      <c r="K1078">
        <v>23.73</v>
      </c>
      <c r="L1078">
        <v>0.0</v>
      </c>
      <c r="M1078"/>
      <c r="N1078"/>
      <c r="O1078">
        <v>4.27</v>
      </c>
      <c r="P1078">
        <v>0.0</v>
      </c>
      <c r="Q1078">
        <v>28.0</v>
      </c>
      <c r="R1078"/>
      <c r="S1078"/>
      <c r="T1078"/>
      <c r="U1078"/>
      <c r="V1078"/>
      <c r="W1078">
        <v>18</v>
      </c>
    </row>
    <row r="1079" spans="1:23">
      <c r="A1079"/>
      <c r="B1079" t="s">
        <v>121</v>
      </c>
      <c r="C1079" t="s">
        <v>121</v>
      </c>
      <c r="D1079" t="s">
        <v>33</v>
      </c>
      <c r="E1079" t="s">
        <v>34</v>
      </c>
      <c r="F1079" t="str">
        <f>"0014699"</f>
        <v>0014699</v>
      </c>
      <c r="G1079">
        <v>1</v>
      </c>
      <c r="H1079" t="str">
        <f>"00000001"</f>
        <v>00000001</v>
      </c>
      <c r="I1079" t="s">
        <v>35</v>
      </c>
      <c r="J1079"/>
      <c r="K1079">
        <v>38.72</v>
      </c>
      <c r="L1079">
        <v>0.0</v>
      </c>
      <c r="M1079"/>
      <c r="N1079"/>
      <c r="O1079">
        <v>6.97</v>
      </c>
      <c r="P1079">
        <v>0.0</v>
      </c>
      <c r="Q1079">
        <v>45.69</v>
      </c>
      <c r="R1079"/>
      <c r="S1079"/>
      <c r="T1079"/>
      <c r="U1079"/>
      <c r="V1079"/>
      <c r="W1079">
        <v>18</v>
      </c>
    </row>
    <row r="1080" spans="1:23">
      <c r="A1080"/>
      <c r="B1080" t="s">
        <v>121</v>
      </c>
      <c r="C1080" t="s">
        <v>121</v>
      </c>
      <c r="D1080" t="s">
        <v>33</v>
      </c>
      <c r="E1080" t="s">
        <v>34</v>
      </c>
      <c r="F1080" t="str">
        <f>"0014700"</f>
        <v>0014700</v>
      </c>
      <c r="G1080">
        <v>1</v>
      </c>
      <c r="H1080" t="str">
        <f>"00000001"</f>
        <v>00000001</v>
      </c>
      <c r="I1080" t="s">
        <v>35</v>
      </c>
      <c r="J1080"/>
      <c r="K1080">
        <v>20.34</v>
      </c>
      <c r="L1080">
        <v>0.0</v>
      </c>
      <c r="M1080"/>
      <c r="N1080"/>
      <c r="O1080">
        <v>3.66</v>
      </c>
      <c r="P1080">
        <v>0.0</v>
      </c>
      <c r="Q1080">
        <v>24.0</v>
      </c>
      <c r="R1080"/>
      <c r="S1080"/>
      <c r="T1080"/>
      <c r="U1080"/>
      <c r="V1080"/>
      <c r="W1080">
        <v>18</v>
      </c>
    </row>
    <row r="1081" spans="1:23">
      <c r="A1081"/>
      <c r="B1081" t="s">
        <v>121</v>
      </c>
      <c r="C1081" t="s">
        <v>121</v>
      </c>
      <c r="D1081" t="s">
        <v>33</v>
      </c>
      <c r="E1081" t="s">
        <v>34</v>
      </c>
      <c r="F1081" t="str">
        <f>"0014701"</f>
        <v>0014701</v>
      </c>
      <c r="G1081">
        <v>1</v>
      </c>
      <c r="H1081" t="str">
        <f>"00000001"</f>
        <v>00000001</v>
      </c>
      <c r="I1081" t="s">
        <v>35</v>
      </c>
      <c r="J1081"/>
      <c r="K1081">
        <v>25.42</v>
      </c>
      <c r="L1081">
        <v>0.0</v>
      </c>
      <c r="M1081"/>
      <c r="N1081"/>
      <c r="O1081">
        <v>4.58</v>
      </c>
      <c r="P1081">
        <v>0.0</v>
      </c>
      <c r="Q1081">
        <v>30.0</v>
      </c>
      <c r="R1081"/>
      <c r="S1081"/>
      <c r="T1081"/>
      <c r="U1081"/>
      <c r="V1081"/>
      <c r="W1081">
        <v>18</v>
      </c>
    </row>
    <row r="1082" spans="1:23">
      <c r="A1082"/>
      <c r="B1082" t="s">
        <v>121</v>
      </c>
      <c r="C1082" t="s">
        <v>121</v>
      </c>
      <c r="D1082" t="s">
        <v>33</v>
      </c>
      <c r="E1082" t="s">
        <v>34</v>
      </c>
      <c r="F1082" t="str">
        <f>"0014702"</f>
        <v>0014702</v>
      </c>
      <c r="G1082">
        <v>1</v>
      </c>
      <c r="H1082" t="str">
        <f>"00000001"</f>
        <v>00000001</v>
      </c>
      <c r="I1082" t="s">
        <v>35</v>
      </c>
      <c r="J1082"/>
      <c r="K1082">
        <v>59.32</v>
      </c>
      <c r="L1082">
        <v>0.0</v>
      </c>
      <c r="M1082"/>
      <c r="N1082"/>
      <c r="O1082">
        <v>10.68</v>
      </c>
      <c r="P1082">
        <v>0.0</v>
      </c>
      <c r="Q1082">
        <v>70.0</v>
      </c>
      <c r="R1082"/>
      <c r="S1082"/>
      <c r="T1082"/>
      <c r="U1082"/>
      <c r="V1082"/>
      <c r="W1082">
        <v>18</v>
      </c>
    </row>
    <row r="1083" spans="1:23">
      <c r="A1083"/>
      <c r="B1083" t="s">
        <v>121</v>
      </c>
      <c r="C1083" t="s">
        <v>121</v>
      </c>
      <c r="D1083" t="s">
        <v>33</v>
      </c>
      <c r="E1083" t="s">
        <v>34</v>
      </c>
      <c r="F1083" t="str">
        <f>"0014703"</f>
        <v>0014703</v>
      </c>
      <c r="G1083">
        <v>1</v>
      </c>
      <c r="H1083" t="str">
        <f>"00000001"</f>
        <v>00000001</v>
      </c>
      <c r="I1083" t="s">
        <v>35</v>
      </c>
      <c r="J1083"/>
      <c r="K1083">
        <v>14.83</v>
      </c>
      <c r="L1083">
        <v>0.0</v>
      </c>
      <c r="M1083"/>
      <c r="N1083"/>
      <c r="O1083">
        <v>2.67</v>
      </c>
      <c r="P1083">
        <v>0.0</v>
      </c>
      <c r="Q1083">
        <v>17.5</v>
      </c>
      <c r="R1083"/>
      <c r="S1083"/>
      <c r="T1083"/>
      <c r="U1083"/>
      <c r="V1083"/>
      <c r="W1083">
        <v>18</v>
      </c>
    </row>
    <row r="1084" spans="1:23">
      <c r="A1084"/>
      <c r="B1084" t="s">
        <v>121</v>
      </c>
      <c r="C1084" t="s">
        <v>121</v>
      </c>
      <c r="D1084" t="s">
        <v>33</v>
      </c>
      <c r="E1084" t="s">
        <v>34</v>
      </c>
      <c r="F1084" t="str">
        <f>"0014704"</f>
        <v>0014704</v>
      </c>
      <c r="G1084">
        <v>1</v>
      </c>
      <c r="H1084" t="str">
        <f>"00000001"</f>
        <v>00000001</v>
      </c>
      <c r="I1084" t="s">
        <v>35</v>
      </c>
      <c r="J1084"/>
      <c r="K1084">
        <v>5.08</v>
      </c>
      <c r="L1084">
        <v>0.0</v>
      </c>
      <c r="M1084"/>
      <c r="N1084"/>
      <c r="O1084">
        <v>0.92</v>
      </c>
      <c r="P1084">
        <v>0.0</v>
      </c>
      <c r="Q1084">
        <v>6.0</v>
      </c>
      <c r="R1084"/>
      <c r="S1084"/>
      <c r="T1084"/>
      <c r="U1084"/>
      <c r="V1084"/>
      <c r="W1084">
        <v>18</v>
      </c>
    </row>
    <row r="1085" spans="1:23">
      <c r="A1085"/>
      <c r="B1085" t="s">
        <v>121</v>
      </c>
      <c r="C1085" t="s">
        <v>121</v>
      </c>
      <c r="D1085" t="s">
        <v>33</v>
      </c>
      <c r="E1085" t="s">
        <v>34</v>
      </c>
      <c r="F1085" t="str">
        <f>"0014705"</f>
        <v>0014705</v>
      </c>
      <c r="G1085">
        <v>1</v>
      </c>
      <c r="H1085" t="str">
        <f>"00000001"</f>
        <v>00000001</v>
      </c>
      <c r="I1085" t="s">
        <v>35</v>
      </c>
      <c r="J1085"/>
      <c r="K1085">
        <v>5.51</v>
      </c>
      <c r="L1085">
        <v>0.0</v>
      </c>
      <c r="M1085"/>
      <c r="N1085"/>
      <c r="O1085">
        <v>0.99</v>
      </c>
      <c r="P1085">
        <v>0.0</v>
      </c>
      <c r="Q1085">
        <v>6.5</v>
      </c>
      <c r="R1085"/>
      <c r="S1085"/>
      <c r="T1085"/>
      <c r="U1085"/>
      <c r="V1085"/>
      <c r="W1085">
        <v>18</v>
      </c>
    </row>
    <row r="1086" spans="1:23">
      <c r="A1086"/>
      <c r="B1086" t="s">
        <v>121</v>
      </c>
      <c r="C1086" t="s">
        <v>121</v>
      </c>
      <c r="D1086" t="s">
        <v>33</v>
      </c>
      <c r="E1086" t="s">
        <v>34</v>
      </c>
      <c r="F1086" t="str">
        <f>"0014706"</f>
        <v>0014706</v>
      </c>
      <c r="G1086">
        <v>1</v>
      </c>
      <c r="H1086" t="str">
        <f>"00000001"</f>
        <v>00000001</v>
      </c>
      <c r="I1086" t="s">
        <v>35</v>
      </c>
      <c r="J1086"/>
      <c r="K1086">
        <v>5.93</v>
      </c>
      <c r="L1086">
        <v>0.0</v>
      </c>
      <c r="M1086"/>
      <c r="N1086"/>
      <c r="O1086">
        <v>1.07</v>
      </c>
      <c r="P1086">
        <v>0.0</v>
      </c>
      <c r="Q1086">
        <v>7.0</v>
      </c>
      <c r="R1086"/>
      <c r="S1086"/>
      <c r="T1086"/>
      <c r="U1086"/>
      <c r="V1086"/>
      <c r="W1086">
        <v>18</v>
      </c>
    </row>
    <row r="1087" spans="1:23">
      <c r="A1087"/>
      <c r="B1087" t="s">
        <v>121</v>
      </c>
      <c r="C1087" t="s">
        <v>121</v>
      </c>
      <c r="D1087" t="s">
        <v>40</v>
      </c>
      <c r="E1087" t="s">
        <v>41</v>
      </c>
      <c r="F1087" t="str">
        <f>"0001294"</f>
        <v>0001294</v>
      </c>
      <c r="G1087">
        <v>6</v>
      </c>
      <c r="H1087" t="str">
        <f>"20612701548"</f>
        <v>20612701548</v>
      </c>
      <c r="I1087" t="s">
        <v>80</v>
      </c>
      <c r="J1087"/>
      <c r="K1087">
        <v>90.68</v>
      </c>
      <c r="L1087">
        <v>0.0</v>
      </c>
      <c r="M1087"/>
      <c r="N1087"/>
      <c r="O1087">
        <v>16.32</v>
      </c>
      <c r="P1087">
        <v>0.0</v>
      </c>
      <c r="Q1087">
        <v>107.0</v>
      </c>
      <c r="R1087"/>
      <c r="S1087"/>
      <c r="T1087"/>
      <c r="U1087"/>
      <c r="V1087"/>
      <c r="W1087">
        <v>18</v>
      </c>
    </row>
    <row r="1088" spans="1:23">
      <c r="A1088"/>
      <c r="B1088" t="s">
        <v>121</v>
      </c>
      <c r="C1088" t="s">
        <v>121</v>
      </c>
      <c r="D1088" t="s">
        <v>33</v>
      </c>
      <c r="E1088" t="s">
        <v>34</v>
      </c>
      <c r="F1088" t="str">
        <f>"0014707"</f>
        <v>0014707</v>
      </c>
      <c r="G1088">
        <v>1</v>
      </c>
      <c r="H1088" t="str">
        <f>"00000001"</f>
        <v>00000001</v>
      </c>
      <c r="I1088" t="s">
        <v>35</v>
      </c>
      <c r="J1088"/>
      <c r="K1088">
        <v>10.17</v>
      </c>
      <c r="L1088">
        <v>0.0</v>
      </c>
      <c r="M1088"/>
      <c r="N1088"/>
      <c r="O1088">
        <v>1.83</v>
      </c>
      <c r="P1088">
        <v>0.0</v>
      </c>
      <c r="Q1088">
        <v>12.0</v>
      </c>
      <c r="R1088"/>
      <c r="S1088"/>
      <c r="T1088"/>
      <c r="U1088"/>
      <c r="V1088"/>
      <c r="W1088">
        <v>18</v>
      </c>
    </row>
    <row r="1089" spans="1:23">
      <c r="A1089"/>
      <c r="B1089" t="s">
        <v>121</v>
      </c>
      <c r="C1089" t="s">
        <v>121</v>
      </c>
      <c r="D1089" t="s">
        <v>33</v>
      </c>
      <c r="E1089" t="s">
        <v>34</v>
      </c>
      <c r="F1089" t="str">
        <f>"0014708"</f>
        <v>0014708</v>
      </c>
      <c r="G1089">
        <v>1</v>
      </c>
      <c r="H1089" t="str">
        <f>"00000001"</f>
        <v>00000001</v>
      </c>
      <c r="I1089" t="s">
        <v>35</v>
      </c>
      <c r="J1089"/>
      <c r="K1089">
        <v>7.63</v>
      </c>
      <c r="L1089">
        <v>0.0</v>
      </c>
      <c r="M1089"/>
      <c r="N1089"/>
      <c r="O1089">
        <v>1.37</v>
      </c>
      <c r="P1089">
        <v>0.0</v>
      </c>
      <c r="Q1089">
        <v>9.0</v>
      </c>
      <c r="R1089"/>
      <c r="S1089"/>
      <c r="T1089"/>
      <c r="U1089"/>
      <c r="V1089"/>
      <c r="W1089">
        <v>18</v>
      </c>
    </row>
    <row r="1090" spans="1:23">
      <c r="A1090"/>
      <c r="B1090" t="s">
        <v>121</v>
      </c>
      <c r="C1090" t="s">
        <v>121</v>
      </c>
      <c r="D1090" t="s">
        <v>33</v>
      </c>
      <c r="E1090" t="s">
        <v>34</v>
      </c>
      <c r="F1090" t="str">
        <f>"0014709"</f>
        <v>0014709</v>
      </c>
      <c r="G1090">
        <v>1</v>
      </c>
      <c r="H1090" t="str">
        <f>"00000001"</f>
        <v>00000001</v>
      </c>
      <c r="I1090" t="s">
        <v>35</v>
      </c>
      <c r="J1090"/>
      <c r="K1090">
        <v>50.0</v>
      </c>
      <c r="L1090">
        <v>0.0</v>
      </c>
      <c r="M1090"/>
      <c r="N1090"/>
      <c r="O1090">
        <v>9.0</v>
      </c>
      <c r="P1090">
        <v>0.0</v>
      </c>
      <c r="Q1090">
        <v>59.0</v>
      </c>
      <c r="R1090"/>
      <c r="S1090"/>
      <c r="T1090"/>
      <c r="U1090"/>
      <c r="V1090"/>
      <c r="W1090">
        <v>18</v>
      </c>
    </row>
    <row r="1091" spans="1:23">
      <c r="A1091"/>
      <c r="B1091" t="s">
        <v>121</v>
      </c>
      <c r="C1091" t="s">
        <v>121</v>
      </c>
      <c r="D1091" t="s">
        <v>33</v>
      </c>
      <c r="E1091" t="s">
        <v>34</v>
      </c>
      <c r="F1091" t="str">
        <f>"0014710"</f>
        <v>0014710</v>
      </c>
      <c r="G1091">
        <v>1</v>
      </c>
      <c r="H1091" t="str">
        <f>"00000001"</f>
        <v>00000001</v>
      </c>
      <c r="I1091" t="s">
        <v>35</v>
      </c>
      <c r="J1091"/>
      <c r="K1091">
        <v>4.24</v>
      </c>
      <c r="L1091">
        <v>0.0</v>
      </c>
      <c r="M1091"/>
      <c r="N1091"/>
      <c r="O1091">
        <v>0.76</v>
      </c>
      <c r="P1091">
        <v>0.0</v>
      </c>
      <c r="Q1091">
        <v>5.0</v>
      </c>
      <c r="R1091"/>
      <c r="S1091"/>
      <c r="T1091"/>
      <c r="U1091"/>
      <c r="V1091"/>
      <c r="W1091">
        <v>18</v>
      </c>
    </row>
    <row r="1092" spans="1:23">
      <c r="A1092"/>
      <c r="B1092" t="s">
        <v>121</v>
      </c>
      <c r="C1092" t="s">
        <v>121</v>
      </c>
      <c r="D1092" t="s">
        <v>33</v>
      </c>
      <c r="E1092" t="s">
        <v>34</v>
      </c>
      <c r="F1092" t="str">
        <f>"0014711"</f>
        <v>0014711</v>
      </c>
      <c r="G1092">
        <v>1</v>
      </c>
      <c r="H1092" t="str">
        <f>"00000001"</f>
        <v>00000001</v>
      </c>
      <c r="I1092" t="s">
        <v>35</v>
      </c>
      <c r="J1092"/>
      <c r="K1092">
        <v>16.95</v>
      </c>
      <c r="L1092">
        <v>0.0</v>
      </c>
      <c r="M1092"/>
      <c r="N1092"/>
      <c r="O1092">
        <v>3.05</v>
      </c>
      <c r="P1092">
        <v>0.0</v>
      </c>
      <c r="Q1092">
        <v>20.0</v>
      </c>
      <c r="R1092"/>
      <c r="S1092"/>
      <c r="T1092"/>
      <c r="U1092"/>
      <c r="V1092"/>
      <c r="W1092">
        <v>18</v>
      </c>
    </row>
    <row r="1093" spans="1:23">
      <c r="A1093"/>
      <c r="B1093" t="s">
        <v>121</v>
      </c>
      <c r="C1093" t="s">
        <v>121</v>
      </c>
      <c r="D1093" t="s">
        <v>33</v>
      </c>
      <c r="E1093" t="s">
        <v>34</v>
      </c>
      <c r="F1093" t="str">
        <f>"0014712"</f>
        <v>0014712</v>
      </c>
      <c r="G1093">
        <v>1</v>
      </c>
      <c r="H1093" t="str">
        <f>"00000001"</f>
        <v>00000001</v>
      </c>
      <c r="I1093" t="s">
        <v>35</v>
      </c>
      <c r="J1093"/>
      <c r="K1093">
        <v>10.17</v>
      </c>
      <c r="L1093">
        <v>0.0</v>
      </c>
      <c r="M1093"/>
      <c r="N1093"/>
      <c r="O1093">
        <v>1.83</v>
      </c>
      <c r="P1093">
        <v>0.0</v>
      </c>
      <c r="Q1093">
        <v>12.0</v>
      </c>
      <c r="R1093"/>
      <c r="S1093"/>
      <c r="T1093"/>
      <c r="U1093"/>
      <c r="V1093"/>
      <c r="W1093">
        <v>18</v>
      </c>
    </row>
    <row r="1094" spans="1:23">
      <c r="A1094"/>
      <c r="B1094" t="s">
        <v>121</v>
      </c>
      <c r="C1094" t="s">
        <v>121</v>
      </c>
      <c r="D1094" t="s">
        <v>33</v>
      </c>
      <c r="E1094" t="s">
        <v>34</v>
      </c>
      <c r="F1094" t="str">
        <f>"0014713"</f>
        <v>0014713</v>
      </c>
      <c r="G1094">
        <v>1</v>
      </c>
      <c r="H1094" t="str">
        <f>"00000001"</f>
        <v>00000001</v>
      </c>
      <c r="I1094" t="s">
        <v>35</v>
      </c>
      <c r="J1094"/>
      <c r="K1094">
        <v>5.51</v>
      </c>
      <c r="L1094">
        <v>0.0</v>
      </c>
      <c r="M1094"/>
      <c r="N1094"/>
      <c r="O1094">
        <v>0.99</v>
      </c>
      <c r="P1094">
        <v>0.0</v>
      </c>
      <c r="Q1094">
        <v>6.5</v>
      </c>
      <c r="R1094"/>
      <c r="S1094"/>
      <c r="T1094"/>
      <c r="U1094"/>
      <c r="V1094"/>
      <c r="W1094">
        <v>18</v>
      </c>
    </row>
    <row r="1095" spans="1:23">
      <c r="A1095"/>
      <c r="B1095" t="s">
        <v>121</v>
      </c>
      <c r="C1095" t="s">
        <v>121</v>
      </c>
      <c r="D1095" t="s">
        <v>33</v>
      </c>
      <c r="E1095" t="s">
        <v>34</v>
      </c>
      <c r="F1095" t="str">
        <f>"0014714"</f>
        <v>0014714</v>
      </c>
      <c r="G1095">
        <v>1</v>
      </c>
      <c r="H1095" t="str">
        <f>"00000001"</f>
        <v>00000001</v>
      </c>
      <c r="I1095" t="s">
        <v>35</v>
      </c>
      <c r="J1095"/>
      <c r="K1095">
        <v>10.17</v>
      </c>
      <c r="L1095">
        <v>0.0</v>
      </c>
      <c r="M1095"/>
      <c r="N1095"/>
      <c r="O1095">
        <v>1.83</v>
      </c>
      <c r="P1095">
        <v>0.0</v>
      </c>
      <c r="Q1095">
        <v>12.0</v>
      </c>
      <c r="R1095"/>
      <c r="S1095"/>
      <c r="T1095"/>
      <c r="U1095"/>
      <c r="V1095"/>
      <c r="W1095">
        <v>18</v>
      </c>
    </row>
    <row r="1096" spans="1:23">
      <c r="A1096"/>
      <c r="B1096" t="s">
        <v>121</v>
      </c>
      <c r="C1096" t="s">
        <v>121</v>
      </c>
      <c r="D1096" t="s">
        <v>33</v>
      </c>
      <c r="E1096" t="s">
        <v>34</v>
      </c>
      <c r="F1096" t="str">
        <f>"0014715"</f>
        <v>0014715</v>
      </c>
      <c r="G1096">
        <v>1</v>
      </c>
      <c r="H1096" t="str">
        <f>"00000001"</f>
        <v>00000001</v>
      </c>
      <c r="I1096" t="s">
        <v>35</v>
      </c>
      <c r="J1096"/>
      <c r="K1096">
        <v>21.19</v>
      </c>
      <c r="L1096">
        <v>0.0</v>
      </c>
      <c r="M1096"/>
      <c r="N1096"/>
      <c r="O1096">
        <v>3.81</v>
      </c>
      <c r="P1096">
        <v>0.0</v>
      </c>
      <c r="Q1096">
        <v>25.0</v>
      </c>
      <c r="R1096"/>
      <c r="S1096"/>
      <c r="T1096"/>
      <c r="U1096"/>
      <c r="V1096"/>
      <c r="W1096">
        <v>18</v>
      </c>
    </row>
    <row r="1097" spans="1:23">
      <c r="A1097"/>
      <c r="B1097" t="s">
        <v>121</v>
      </c>
      <c r="C1097" t="s">
        <v>121</v>
      </c>
      <c r="D1097" t="s">
        <v>33</v>
      </c>
      <c r="E1097" t="s">
        <v>34</v>
      </c>
      <c r="F1097" t="str">
        <f>"0014716"</f>
        <v>0014716</v>
      </c>
      <c r="G1097">
        <v>1</v>
      </c>
      <c r="H1097" t="str">
        <f>"00000001"</f>
        <v>00000001</v>
      </c>
      <c r="I1097" t="s">
        <v>35</v>
      </c>
      <c r="J1097"/>
      <c r="K1097">
        <v>7.63</v>
      </c>
      <c r="L1097">
        <v>0.0</v>
      </c>
      <c r="M1097"/>
      <c r="N1097"/>
      <c r="O1097">
        <v>1.37</v>
      </c>
      <c r="P1097">
        <v>0.0</v>
      </c>
      <c r="Q1097">
        <v>9.0</v>
      </c>
      <c r="R1097"/>
      <c r="S1097"/>
      <c r="T1097"/>
      <c r="U1097"/>
      <c r="V1097"/>
      <c r="W1097">
        <v>18</v>
      </c>
    </row>
    <row r="1098" spans="1:23">
      <c r="A1098"/>
      <c r="B1098" t="s">
        <v>121</v>
      </c>
      <c r="C1098" t="s">
        <v>121</v>
      </c>
      <c r="D1098" t="s">
        <v>33</v>
      </c>
      <c r="E1098" t="s">
        <v>34</v>
      </c>
      <c r="F1098" t="str">
        <f>"0014717"</f>
        <v>0014717</v>
      </c>
      <c r="G1098">
        <v>1</v>
      </c>
      <c r="H1098" t="str">
        <f>"00000001"</f>
        <v>00000001</v>
      </c>
      <c r="I1098" t="s">
        <v>35</v>
      </c>
      <c r="J1098"/>
      <c r="K1098">
        <v>6.36</v>
      </c>
      <c r="L1098">
        <v>0.0</v>
      </c>
      <c r="M1098"/>
      <c r="N1098"/>
      <c r="O1098">
        <v>1.14</v>
      </c>
      <c r="P1098">
        <v>0.0</v>
      </c>
      <c r="Q1098">
        <v>7.5</v>
      </c>
      <c r="R1098"/>
      <c r="S1098"/>
      <c r="T1098"/>
      <c r="U1098"/>
      <c r="V1098"/>
      <c r="W1098">
        <v>18</v>
      </c>
    </row>
    <row r="1099" spans="1:23">
      <c r="A1099"/>
      <c r="B1099" t="s">
        <v>121</v>
      </c>
      <c r="C1099" t="s">
        <v>121</v>
      </c>
      <c r="D1099" t="s">
        <v>33</v>
      </c>
      <c r="E1099" t="s">
        <v>34</v>
      </c>
      <c r="F1099" t="str">
        <f>"0014718"</f>
        <v>0014718</v>
      </c>
      <c r="G1099">
        <v>1</v>
      </c>
      <c r="H1099" t="str">
        <f>"00000001"</f>
        <v>00000001</v>
      </c>
      <c r="I1099" t="s">
        <v>35</v>
      </c>
      <c r="J1099"/>
      <c r="K1099">
        <v>27.12</v>
      </c>
      <c r="L1099">
        <v>0.0</v>
      </c>
      <c r="M1099"/>
      <c r="N1099"/>
      <c r="O1099">
        <v>4.88</v>
      </c>
      <c r="P1099">
        <v>0.0</v>
      </c>
      <c r="Q1099">
        <v>32.0</v>
      </c>
      <c r="R1099"/>
      <c r="S1099"/>
      <c r="T1099"/>
      <c r="U1099"/>
      <c r="V1099"/>
      <c r="W1099">
        <v>18</v>
      </c>
    </row>
    <row r="1100" spans="1:23">
      <c r="A1100"/>
      <c r="B1100" t="s">
        <v>121</v>
      </c>
      <c r="C1100" t="s">
        <v>121</v>
      </c>
      <c r="D1100" t="s">
        <v>33</v>
      </c>
      <c r="E1100" t="s">
        <v>34</v>
      </c>
      <c r="F1100" t="str">
        <f>"0014719"</f>
        <v>0014719</v>
      </c>
      <c r="G1100">
        <v>1</v>
      </c>
      <c r="H1100" t="str">
        <f>"00000001"</f>
        <v>00000001</v>
      </c>
      <c r="I1100" t="s">
        <v>35</v>
      </c>
      <c r="J1100"/>
      <c r="K1100">
        <v>5.08</v>
      </c>
      <c r="L1100">
        <v>0.0</v>
      </c>
      <c r="M1100"/>
      <c r="N1100"/>
      <c r="O1100">
        <v>0.92</v>
      </c>
      <c r="P1100">
        <v>0.0</v>
      </c>
      <c r="Q1100">
        <v>6.0</v>
      </c>
      <c r="R1100"/>
      <c r="S1100"/>
      <c r="T1100"/>
      <c r="U1100"/>
      <c r="V1100"/>
      <c r="W1100">
        <v>18</v>
      </c>
    </row>
    <row r="1101" spans="1:23">
      <c r="A1101"/>
      <c r="B1101" t="s">
        <v>122</v>
      </c>
      <c r="C1101" t="s">
        <v>122</v>
      </c>
      <c r="D1101" t="s">
        <v>33</v>
      </c>
      <c r="E1101" t="s">
        <v>34</v>
      </c>
      <c r="F1101" t="str">
        <f>"0014720"</f>
        <v>0014720</v>
      </c>
      <c r="G1101">
        <v>1</v>
      </c>
      <c r="H1101" t="str">
        <f>"00000001"</f>
        <v>00000001</v>
      </c>
      <c r="I1101" t="s">
        <v>35</v>
      </c>
      <c r="J1101"/>
      <c r="K1101">
        <v>11.02</v>
      </c>
      <c r="L1101">
        <v>0.0</v>
      </c>
      <c r="M1101"/>
      <c r="N1101"/>
      <c r="O1101">
        <v>1.98</v>
      </c>
      <c r="P1101">
        <v>0.0</v>
      </c>
      <c r="Q1101">
        <v>13.0</v>
      </c>
      <c r="R1101"/>
      <c r="S1101"/>
      <c r="T1101"/>
      <c r="U1101"/>
      <c r="V1101"/>
      <c r="W1101">
        <v>18</v>
      </c>
    </row>
    <row r="1102" spans="1:23">
      <c r="A1102"/>
      <c r="B1102" t="s">
        <v>122</v>
      </c>
      <c r="C1102" t="s">
        <v>122</v>
      </c>
      <c r="D1102" t="s">
        <v>33</v>
      </c>
      <c r="E1102" t="s">
        <v>34</v>
      </c>
      <c r="F1102" t="str">
        <f>"0014721"</f>
        <v>0014721</v>
      </c>
      <c r="G1102">
        <v>1</v>
      </c>
      <c r="H1102" t="str">
        <f>"00000001"</f>
        <v>00000001</v>
      </c>
      <c r="I1102" t="s">
        <v>35</v>
      </c>
      <c r="J1102"/>
      <c r="K1102">
        <v>0.85</v>
      </c>
      <c r="L1102">
        <v>0.0</v>
      </c>
      <c r="M1102"/>
      <c r="N1102"/>
      <c r="O1102">
        <v>0.15</v>
      </c>
      <c r="P1102">
        <v>0.0</v>
      </c>
      <c r="Q1102">
        <v>1.0</v>
      </c>
      <c r="R1102"/>
      <c r="S1102"/>
      <c r="T1102"/>
      <c r="U1102"/>
      <c r="V1102"/>
      <c r="W1102">
        <v>18</v>
      </c>
    </row>
    <row r="1103" spans="1:23">
      <c r="A1103"/>
      <c r="B1103" t="s">
        <v>122</v>
      </c>
      <c r="C1103" t="s">
        <v>122</v>
      </c>
      <c r="D1103" t="s">
        <v>33</v>
      </c>
      <c r="E1103" t="s">
        <v>34</v>
      </c>
      <c r="F1103" t="str">
        <f>"0014722"</f>
        <v>0014722</v>
      </c>
      <c r="G1103">
        <v>1</v>
      </c>
      <c r="H1103" t="str">
        <f>"00000001"</f>
        <v>00000001</v>
      </c>
      <c r="I1103" t="s">
        <v>35</v>
      </c>
      <c r="J1103"/>
      <c r="K1103">
        <v>10.17</v>
      </c>
      <c r="L1103">
        <v>0.0</v>
      </c>
      <c r="M1103"/>
      <c r="N1103"/>
      <c r="O1103">
        <v>1.83</v>
      </c>
      <c r="P1103">
        <v>0.0</v>
      </c>
      <c r="Q1103">
        <v>12.0</v>
      </c>
      <c r="R1103"/>
      <c r="S1103"/>
      <c r="T1103"/>
      <c r="U1103"/>
      <c r="V1103"/>
      <c r="W1103">
        <v>18</v>
      </c>
    </row>
    <row r="1104" spans="1:23">
      <c r="A1104"/>
      <c r="B1104" t="s">
        <v>122</v>
      </c>
      <c r="C1104" t="s">
        <v>122</v>
      </c>
      <c r="D1104" t="s">
        <v>33</v>
      </c>
      <c r="E1104" t="s">
        <v>34</v>
      </c>
      <c r="F1104" t="str">
        <f>"0014723"</f>
        <v>0014723</v>
      </c>
      <c r="G1104">
        <v>1</v>
      </c>
      <c r="H1104" t="str">
        <f>"00000001"</f>
        <v>00000001</v>
      </c>
      <c r="I1104" t="s">
        <v>35</v>
      </c>
      <c r="J1104"/>
      <c r="K1104">
        <v>13.56</v>
      </c>
      <c r="L1104">
        <v>0.0</v>
      </c>
      <c r="M1104"/>
      <c r="N1104"/>
      <c r="O1104">
        <v>2.44</v>
      </c>
      <c r="P1104">
        <v>0.0</v>
      </c>
      <c r="Q1104">
        <v>16.0</v>
      </c>
      <c r="R1104"/>
      <c r="S1104"/>
      <c r="T1104"/>
      <c r="U1104"/>
      <c r="V1104"/>
      <c r="W1104">
        <v>18</v>
      </c>
    </row>
    <row r="1105" spans="1:23">
      <c r="A1105"/>
      <c r="B1105" t="s">
        <v>122</v>
      </c>
      <c r="C1105" t="s">
        <v>122</v>
      </c>
      <c r="D1105" t="s">
        <v>33</v>
      </c>
      <c r="E1105" t="s">
        <v>34</v>
      </c>
      <c r="F1105" t="str">
        <f>"0014724"</f>
        <v>0014724</v>
      </c>
      <c r="G1105">
        <v>1</v>
      </c>
      <c r="H1105" t="str">
        <f>"00000001"</f>
        <v>00000001</v>
      </c>
      <c r="I1105" t="s">
        <v>35</v>
      </c>
      <c r="J1105"/>
      <c r="K1105">
        <v>11.02</v>
      </c>
      <c r="L1105">
        <v>0.0</v>
      </c>
      <c r="M1105"/>
      <c r="N1105"/>
      <c r="O1105">
        <v>1.98</v>
      </c>
      <c r="P1105">
        <v>0.0</v>
      </c>
      <c r="Q1105">
        <v>13.0</v>
      </c>
      <c r="R1105"/>
      <c r="S1105"/>
      <c r="T1105"/>
      <c r="U1105"/>
      <c r="V1105"/>
      <c r="W1105">
        <v>18</v>
      </c>
    </row>
    <row r="1106" spans="1:23">
      <c r="A1106"/>
      <c r="B1106" t="s">
        <v>122</v>
      </c>
      <c r="C1106" t="s">
        <v>122</v>
      </c>
      <c r="D1106" t="s">
        <v>33</v>
      </c>
      <c r="E1106" t="s">
        <v>34</v>
      </c>
      <c r="F1106" t="str">
        <f>"0014725"</f>
        <v>0014725</v>
      </c>
      <c r="G1106">
        <v>1</v>
      </c>
      <c r="H1106" t="str">
        <f>"00082662"</f>
        <v>00082662</v>
      </c>
      <c r="I1106" t="s">
        <v>123</v>
      </c>
      <c r="J1106"/>
      <c r="K1106">
        <v>8.47</v>
      </c>
      <c r="L1106">
        <v>0.0</v>
      </c>
      <c r="M1106"/>
      <c r="N1106"/>
      <c r="O1106">
        <v>1.53</v>
      </c>
      <c r="P1106">
        <v>0.0</v>
      </c>
      <c r="Q1106">
        <v>10.0</v>
      </c>
      <c r="R1106"/>
      <c r="S1106"/>
      <c r="T1106"/>
      <c r="U1106"/>
      <c r="V1106"/>
      <c r="W1106">
        <v>18</v>
      </c>
    </row>
    <row r="1107" spans="1:23">
      <c r="A1107"/>
      <c r="B1107" t="s">
        <v>122</v>
      </c>
      <c r="C1107" t="s">
        <v>122</v>
      </c>
      <c r="D1107" t="s">
        <v>33</v>
      </c>
      <c r="E1107" t="s">
        <v>34</v>
      </c>
      <c r="F1107" t="str">
        <f>"0014726"</f>
        <v>0014726</v>
      </c>
      <c r="G1107">
        <v>1</v>
      </c>
      <c r="H1107" t="str">
        <f>"00000001"</f>
        <v>00000001</v>
      </c>
      <c r="I1107" t="s">
        <v>35</v>
      </c>
      <c r="J1107"/>
      <c r="K1107">
        <v>21.19</v>
      </c>
      <c r="L1107">
        <v>0.0</v>
      </c>
      <c r="M1107"/>
      <c r="N1107"/>
      <c r="O1107">
        <v>3.81</v>
      </c>
      <c r="P1107">
        <v>0.0</v>
      </c>
      <c r="Q1107">
        <v>25.0</v>
      </c>
      <c r="R1107"/>
      <c r="S1107"/>
      <c r="T1107"/>
      <c r="U1107"/>
      <c r="V1107"/>
      <c r="W1107">
        <v>18</v>
      </c>
    </row>
    <row r="1108" spans="1:23">
      <c r="A1108"/>
      <c r="B1108" t="s">
        <v>122</v>
      </c>
      <c r="C1108" t="s">
        <v>122</v>
      </c>
      <c r="D1108" t="s">
        <v>33</v>
      </c>
      <c r="E1108" t="s">
        <v>34</v>
      </c>
      <c r="F1108" t="str">
        <f>"0014727"</f>
        <v>0014727</v>
      </c>
      <c r="G1108">
        <v>1</v>
      </c>
      <c r="H1108" t="str">
        <f>"00000001"</f>
        <v>00000001</v>
      </c>
      <c r="I1108" t="s">
        <v>35</v>
      </c>
      <c r="J1108"/>
      <c r="K1108">
        <v>9.75</v>
      </c>
      <c r="L1108">
        <v>0.0</v>
      </c>
      <c r="M1108"/>
      <c r="N1108"/>
      <c r="O1108">
        <v>1.75</v>
      </c>
      <c r="P1108">
        <v>0.0</v>
      </c>
      <c r="Q1108">
        <v>11.5</v>
      </c>
      <c r="R1108"/>
      <c r="S1108"/>
      <c r="T1108"/>
      <c r="U1108"/>
      <c r="V1108"/>
      <c r="W1108">
        <v>18</v>
      </c>
    </row>
    <row r="1109" spans="1:23">
      <c r="A1109"/>
      <c r="B1109" t="s">
        <v>122</v>
      </c>
      <c r="C1109" t="s">
        <v>122</v>
      </c>
      <c r="D1109" t="s">
        <v>33</v>
      </c>
      <c r="E1109" t="s">
        <v>34</v>
      </c>
      <c r="F1109" t="str">
        <f>"0014728"</f>
        <v>0014728</v>
      </c>
      <c r="G1109">
        <v>1</v>
      </c>
      <c r="H1109" t="str">
        <f>"00000001"</f>
        <v>00000001</v>
      </c>
      <c r="I1109" t="s">
        <v>35</v>
      </c>
      <c r="J1109"/>
      <c r="K1109">
        <v>40.68</v>
      </c>
      <c r="L1109">
        <v>0.0</v>
      </c>
      <c r="M1109"/>
      <c r="N1109"/>
      <c r="O1109">
        <v>7.32</v>
      </c>
      <c r="P1109">
        <v>0.0</v>
      </c>
      <c r="Q1109">
        <v>48.0</v>
      </c>
      <c r="R1109"/>
      <c r="S1109"/>
      <c r="T1109"/>
      <c r="U1109"/>
      <c r="V1109"/>
      <c r="W1109">
        <v>18</v>
      </c>
    </row>
    <row r="1110" spans="1:23">
      <c r="A1110"/>
      <c r="B1110" t="s">
        <v>122</v>
      </c>
      <c r="C1110" t="s">
        <v>122</v>
      </c>
      <c r="D1110" t="s">
        <v>33</v>
      </c>
      <c r="E1110" t="s">
        <v>34</v>
      </c>
      <c r="F1110" t="str">
        <f>"0014729"</f>
        <v>0014729</v>
      </c>
      <c r="G1110">
        <v>1</v>
      </c>
      <c r="H1110" t="str">
        <f>"00000001"</f>
        <v>00000001</v>
      </c>
      <c r="I1110" t="s">
        <v>35</v>
      </c>
      <c r="J1110"/>
      <c r="K1110">
        <v>11.02</v>
      </c>
      <c r="L1110">
        <v>0.0</v>
      </c>
      <c r="M1110"/>
      <c r="N1110"/>
      <c r="O1110">
        <v>1.98</v>
      </c>
      <c r="P1110">
        <v>0.0</v>
      </c>
      <c r="Q1110">
        <v>13.0</v>
      </c>
      <c r="R1110"/>
      <c r="S1110"/>
      <c r="T1110"/>
      <c r="U1110"/>
      <c r="V1110"/>
      <c r="W1110">
        <v>18</v>
      </c>
    </row>
    <row r="1111" spans="1:23">
      <c r="A1111"/>
      <c r="B1111" t="s">
        <v>122</v>
      </c>
      <c r="C1111" t="s">
        <v>122</v>
      </c>
      <c r="D1111" t="s">
        <v>33</v>
      </c>
      <c r="E1111" t="s">
        <v>34</v>
      </c>
      <c r="F1111" t="str">
        <f>"0014730"</f>
        <v>0014730</v>
      </c>
      <c r="G1111">
        <v>1</v>
      </c>
      <c r="H1111" t="str">
        <f>"00000001"</f>
        <v>00000001</v>
      </c>
      <c r="I1111" t="s">
        <v>35</v>
      </c>
      <c r="J1111"/>
      <c r="K1111">
        <v>7.63</v>
      </c>
      <c r="L1111">
        <v>0.0</v>
      </c>
      <c r="M1111"/>
      <c r="N1111"/>
      <c r="O1111">
        <v>1.37</v>
      </c>
      <c r="P1111">
        <v>0.0</v>
      </c>
      <c r="Q1111">
        <v>9.0</v>
      </c>
      <c r="R1111"/>
      <c r="S1111"/>
      <c r="T1111"/>
      <c r="U1111"/>
      <c r="V1111"/>
      <c r="W1111">
        <v>18</v>
      </c>
    </row>
    <row r="1112" spans="1:23">
      <c r="A1112"/>
      <c r="B1112" t="s">
        <v>122</v>
      </c>
      <c r="C1112" t="s">
        <v>122</v>
      </c>
      <c r="D1112" t="s">
        <v>33</v>
      </c>
      <c r="E1112" t="s">
        <v>34</v>
      </c>
      <c r="F1112" t="str">
        <f>"0014731"</f>
        <v>0014731</v>
      </c>
      <c r="G1112">
        <v>1</v>
      </c>
      <c r="H1112" t="str">
        <f>"00000001"</f>
        <v>00000001</v>
      </c>
      <c r="I1112" t="s">
        <v>35</v>
      </c>
      <c r="J1112"/>
      <c r="K1112">
        <v>12.71</v>
      </c>
      <c r="L1112">
        <v>0.0</v>
      </c>
      <c r="M1112"/>
      <c r="N1112"/>
      <c r="O1112">
        <v>2.29</v>
      </c>
      <c r="P1112">
        <v>0.0</v>
      </c>
      <c r="Q1112">
        <v>15.0</v>
      </c>
      <c r="R1112"/>
      <c r="S1112"/>
      <c r="T1112"/>
      <c r="U1112"/>
      <c r="V1112"/>
      <c r="W1112">
        <v>18</v>
      </c>
    </row>
    <row r="1113" spans="1:23">
      <c r="A1113"/>
      <c r="B1113" t="s">
        <v>122</v>
      </c>
      <c r="C1113" t="s">
        <v>122</v>
      </c>
      <c r="D1113" t="s">
        <v>33</v>
      </c>
      <c r="E1113" t="s">
        <v>34</v>
      </c>
      <c r="F1113" t="str">
        <f>"0014732"</f>
        <v>0014732</v>
      </c>
      <c r="G1113">
        <v>1</v>
      </c>
      <c r="H1113" t="str">
        <f>"00000001"</f>
        <v>00000001</v>
      </c>
      <c r="I1113" t="s">
        <v>35</v>
      </c>
      <c r="J1113"/>
      <c r="K1113">
        <v>10.17</v>
      </c>
      <c r="L1113">
        <v>0.0</v>
      </c>
      <c r="M1113"/>
      <c r="N1113"/>
      <c r="O1113">
        <v>1.83</v>
      </c>
      <c r="P1113">
        <v>0.0</v>
      </c>
      <c r="Q1113">
        <v>12.0</v>
      </c>
      <c r="R1113"/>
      <c r="S1113"/>
      <c r="T1113"/>
      <c r="U1113"/>
      <c r="V1113"/>
      <c r="W1113">
        <v>18</v>
      </c>
    </row>
    <row r="1114" spans="1:23">
      <c r="A1114"/>
      <c r="B1114" t="s">
        <v>122</v>
      </c>
      <c r="C1114" t="s">
        <v>122</v>
      </c>
      <c r="D1114" t="s">
        <v>33</v>
      </c>
      <c r="E1114" t="s">
        <v>34</v>
      </c>
      <c r="F1114" t="str">
        <f>"0014733"</f>
        <v>0014733</v>
      </c>
      <c r="G1114">
        <v>1</v>
      </c>
      <c r="H1114" t="str">
        <f>"00000001"</f>
        <v>00000001</v>
      </c>
      <c r="I1114" t="s">
        <v>35</v>
      </c>
      <c r="J1114"/>
      <c r="K1114">
        <v>5.93</v>
      </c>
      <c r="L1114">
        <v>0.0</v>
      </c>
      <c r="M1114"/>
      <c r="N1114"/>
      <c r="O1114">
        <v>1.07</v>
      </c>
      <c r="P1114">
        <v>0.0</v>
      </c>
      <c r="Q1114">
        <v>7.0</v>
      </c>
      <c r="R1114"/>
      <c r="S1114"/>
      <c r="T1114"/>
      <c r="U1114"/>
      <c r="V1114"/>
      <c r="W1114">
        <v>18</v>
      </c>
    </row>
    <row r="1115" spans="1:23">
      <c r="A1115"/>
      <c r="B1115" t="s">
        <v>122</v>
      </c>
      <c r="C1115" t="s">
        <v>122</v>
      </c>
      <c r="D1115" t="s">
        <v>33</v>
      </c>
      <c r="E1115" t="s">
        <v>34</v>
      </c>
      <c r="F1115" t="str">
        <f>"0014734"</f>
        <v>0014734</v>
      </c>
      <c r="G1115">
        <v>1</v>
      </c>
      <c r="H1115" t="str">
        <f>"00000001"</f>
        <v>00000001</v>
      </c>
      <c r="I1115" t="s">
        <v>35</v>
      </c>
      <c r="J1115"/>
      <c r="K1115">
        <v>13.56</v>
      </c>
      <c r="L1115">
        <v>0.0</v>
      </c>
      <c r="M1115"/>
      <c r="N1115"/>
      <c r="O1115">
        <v>2.44</v>
      </c>
      <c r="P1115">
        <v>0.0</v>
      </c>
      <c r="Q1115">
        <v>16.0</v>
      </c>
      <c r="R1115"/>
      <c r="S1115"/>
      <c r="T1115"/>
      <c r="U1115"/>
      <c r="V1115"/>
      <c r="W1115">
        <v>18</v>
      </c>
    </row>
    <row r="1116" spans="1:23">
      <c r="A1116"/>
      <c r="B1116" t="s">
        <v>122</v>
      </c>
      <c r="C1116" t="s">
        <v>122</v>
      </c>
      <c r="D1116" t="s">
        <v>33</v>
      </c>
      <c r="E1116" t="s">
        <v>34</v>
      </c>
      <c r="F1116" t="str">
        <f>"0014735"</f>
        <v>0014735</v>
      </c>
      <c r="G1116">
        <v>1</v>
      </c>
      <c r="H1116" t="str">
        <f>"46702655"</f>
        <v>46702655</v>
      </c>
      <c r="I1116" t="s">
        <v>124</v>
      </c>
      <c r="J1116"/>
      <c r="K1116">
        <v>10.17</v>
      </c>
      <c r="L1116">
        <v>0.0</v>
      </c>
      <c r="M1116"/>
      <c r="N1116"/>
      <c r="O1116">
        <v>1.83</v>
      </c>
      <c r="P1116">
        <v>0.0</v>
      </c>
      <c r="Q1116">
        <v>12.0</v>
      </c>
      <c r="R1116"/>
      <c r="S1116"/>
      <c r="T1116"/>
      <c r="U1116"/>
      <c r="V1116"/>
      <c r="W1116">
        <v>18</v>
      </c>
    </row>
    <row r="1117" spans="1:23">
      <c r="A1117"/>
      <c r="B1117" t="s">
        <v>122</v>
      </c>
      <c r="C1117" t="s">
        <v>122</v>
      </c>
      <c r="D1117" t="s">
        <v>33</v>
      </c>
      <c r="E1117" t="s">
        <v>34</v>
      </c>
      <c r="F1117" t="str">
        <f>"0014736"</f>
        <v>0014736</v>
      </c>
      <c r="G1117">
        <v>1</v>
      </c>
      <c r="H1117" t="str">
        <f>"00000001"</f>
        <v>00000001</v>
      </c>
      <c r="I1117" t="s">
        <v>35</v>
      </c>
      <c r="J1117"/>
      <c r="K1117">
        <v>21.19</v>
      </c>
      <c r="L1117">
        <v>0.0</v>
      </c>
      <c r="M1117"/>
      <c r="N1117"/>
      <c r="O1117">
        <v>3.81</v>
      </c>
      <c r="P1117">
        <v>0.0</v>
      </c>
      <c r="Q1117">
        <v>25.0</v>
      </c>
      <c r="R1117"/>
      <c r="S1117"/>
      <c r="T1117"/>
      <c r="U1117"/>
      <c r="V1117"/>
      <c r="W1117">
        <v>18</v>
      </c>
    </row>
    <row r="1118" spans="1:23">
      <c r="A1118"/>
      <c r="B1118" t="s">
        <v>122</v>
      </c>
      <c r="C1118" t="s">
        <v>122</v>
      </c>
      <c r="D1118" t="s">
        <v>33</v>
      </c>
      <c r="E1118" t="s">
        <v>34</v>
      </c>
      <c r="F1118" t="str">
        <f>"0014737"</f>
        <v>0014737</v>
      </c>
      <c r="G1118">
        <v>1</v>
      </c>
      <c r="H1118" t="str">
        <f>"00000001"</f>
        <v>00000001</v>
      </c>
      <c r="I1118" t="s">
        <v>35</v>
      </c>
      <c r="J1118"/>
      <c r="K1118">
        <v>5.08</v>
      </c>
      <c r="L1118">
        <v>0.0</v>
      </c>
      <c r="M1118"/>
      <c r="N1118"/>
      <c r="O1118">
        <v>0.92</v>
      </c>
      <c r="P1118">
        <v>0.0</v>
      </c>
      <c r="Q1118">
        <v>6.0</v>
      </c>
      <c r="R1118"/>
      <c r="S1118"/>
      <c r="T1118"/>
      <c r="U1118"/>
      <c r="V1118"/>
      <c r="W1118">
        <v>18</v>
      </c>
    </row>
    <row r="1119" spans="1:23">
      <c r="A1119"/>
      <c r="B1119" t="s">
        <v>122</v>
      </c>
      <c r="C1119" t="s">
        <v>122</v>
      </c>
      <c r="D1119" t="s">
        <v>40</v>
      </c>
      <c r="E1119" t="s">
        <v>41</v>
      </c>
      <c r="F1119" t="str">
        <f>"0001295"</f>
        <v>0001295</v>
      </c>
      <c r="G1119">
        <v>6</v>
      </c>
      <c r="H1119" t="str">
        <f>"20604584834"</f>
        <v>20604584834</v>
      </c>
      <c r="I1119" t="s">
        <v>125</v>
      </c>
      <c r="J1119"/>
      <c r="K1119">
        <v>8.14</v>
      </c>
      <c r="L1119">
        <v>0.0</v>
      </c>
      <c r="M1119"/>
      <c r="N1119"/>
      <c r="O1119">
        <v>1.46</v>
      </c>
      <c r="P1119">
        <v>0.0</v>
      </c>
      <c r="Q1119">
        <v>9.6</v>
      </c>
      <c r="R1119"/>
      <c r="S1119"/>
      <c r="T1119"/>
      <c r="U1119"/>
      <c r="V1119"/>
      <c r="W1119">
        <v>18</v>
      </c>
    </row>
    <row r="1120" spans="1:23">
      <c r="A1120"/>
      <c r="B1120" t="s">
        <v>122</v>
      </c>
      <c r="C1120" t="s">
        <v>122</v>
      </c>
      <c r="D1120" t="s">
        <v>33</v>
      </c>
      <c r="E1120" t="s">
        <v>34</v>
      </c>
      <c r="F1120" t="str">
        <f>"0014738"</f>
        <v>0014738</v>
      </c>
      <c r="G1120">
        <v>1</v>
      </c>
      <c r="H1120" t="str">
        <f>"00000001"</f>
        <v>00000001</v>
      </c>
      <c r="I1120" t="s">
        <v>35</v>
      </c>
      <c r="J1120"/>
      <c r="K1120">
        <v>4.24</v>
      </c>
      <c r="L1120">
        <v>0.0</v>
      </c>
      <c r="M1120"/>
      <c r="N1120"/>
      <c r="O1120">
        <v>0.76</v>
      </c>
      <c r="P1120">
        <v>0.0</v>
      </c>
      <c r="Q1120">
        <v>5.0</v>
      </c>
      <c r="R1120"/>
      <c r="S1120"/>
      <c r="T1120"/>
      <c r="U1120"/>
      <c r="V1120"/>
      <c r="W1120">
        <v>18</v>
      </c>
    </row>
    <row r="1121" spans="1:23">
      <c r="A1121"/>
      <c r="B1121" t="s">
        <v>122</v>
      </c>
      <c r="C1121" t="s">
        <v>122</v>
      </c>
      <c r="D1121" t="s">
        <v>33</v>
      </c>
      <c r="E1121" t="s">
        <v>34</v>
      </c>
      <c r="F1121" t="str">
        <f>"0014739"</f>
        <v>0014739</v>
      </c>
      <c r="G1121">
        <v>1</v>
      </c>
      <c r="H1121" t="str">
        <f>"00000001"</f>
        <v>00000001</v>
      </c>
      <c r="I1121" t="s">
        <v>35</v>
      </c>
      <c r="J1121"/>
      <c r="K1121">
        <v>6.78</v>
      </c>
      <c r="L1121">
        <v>0.0</v>
      </c>
      <c r="M1121"/>
      <c r="N1121"/>
      <c r="O1121">
        <v>1.22</v>
      </c>
      <c r="P1121">
        <v>0.0</v>
      </c>
      <c r="Q1121">
        <v>8.0</v>
      </c>
      <c r="R1121"/>
      <c r="S1121"/>
      <c r="T1121"/>
      <c r="U1121"/>
      <c r="V1121"/>
      <c r="W1121">
        <v>18</v>
      </c>
    </row>
    <row r="1122" spans="1:23">
      <c r="A1122"/>
      <c r="B1122" t="s">
        <v>122</v>
      </c>
      <c r="C1122" t="s">
        <v>122</v>
      </c>
      <c r="D1122" t="s">
        <v>33</v>
      </c>
      <c r="E1122" t="s">
        <v>34</v>
      </c>
      <c r="F1122" t="str">
        <f>"0014740"</f>
        <v>0014740</v>
      </c>
      <c r="G1122">
        <v>1</v>
      </c>
      <c r="H1122" t="str">
        <f>"00000001"</f>
        <v>00000001</v>
      </c>
      <c r="I1122" t="s">
        <v>35</v>
      </c>
      <c r="J1122"/>
      <c r="K1122">
        <v>5.08</v>
      </c>
      <c r="L1122">
        <v>0.0</v>
      </c>
      <c r="M1122"/>
      <c r="N1122"/>
      <c r="O1122">
        <v>0.92</v>
      </c>
      <c r="P1122">
        <v>0.0</v>
      </c>
      <c r="Q1122">
        <v>6.0</v>
      </c>
      <c r="R1122"/>
      <c r="S1122"/>
      <c r="T1122"/>
      <c r="U1122"/>
      <c r="V1122"/>
      <c r="W1122">
        <v>18</v>
      </c>
    </row>
    <row r="1123" spans="1:23">
      <c r="A1123"/>
      <c r="B1123" t="s">
        <v>122</v>
      </c>
      <c r="C1123" t="s">
        <v>122</v>
      </c>
      <c r="D1123" t="s">
        <v>33</v>
      </c>
      <c r="E1123" t="s">
        <v>34</v>
      </c>
      <c r="F1123" t="str">
        <f>"0014741"</f>
        <v>0014741</v>
      </c>
      <c r="G1123">
        <v>1</v>
      </c>
      <c r="H1123" t="str">
        <f>"00000001"</f>
        <v>00000001</v>
      </c>
      <c r="I1123" t="s">
        <v>35</v>
      </c>
      <c r="J1123"/>
      <c r="K1123">
        <v>33.9</v>
      </c>
      <c r="L1123">
        <v>0.0</v>
      </c>
      <c r="M1123"/>
      <c r="N1123"/>
      <c r="O1123">
        <v>6.1</v>
      </c>
      <c r="P1123">
        <v>0.0</v>
      </c>
      <c r="Q1123">
        <v>40.0</v>
      </c>
      <c r="R1123"/>
      <c r="S1123"/>
      <c r="T1123"/>
      <c r="U1123"/>
      <c r="V1123"/>
      <c r="W1123">
        <v>18</v>
      </c>
    </row>
    <row r="1124" spans="1:23">
      <c r="A1124"/>
      <c r="B1124" t="s">
        <v>122</v>
      </c>
      <c r="C1124" t="s">
        <v>122</v>
      </c>
      <c r="D1124" t="s">
        <v>33</v>
      </c>
      <c r="E1124" t="s">
        <v>34</v>
      </c>
      <c r="F1124" t="str">
        <f>"0014742"</f>
        <v>0014742</v>
      </c>
      <c r="G1124">
        <v>1</v>
      </c>
      <c r="H1124" t="str">
        <f>"00000001"</f>
        <v>00000001</v>
      </c>
      <c r="I1124" t="s">
        <v>35</v>
      </c>
      <c r="J1124"/>
      <c r="K1124">
        <v>25.42</v>
      </c>
      <c r="L1124">
        <v>0.0</v>
      </c>
      <c r="M1124"/>
      <c r="N1124"/>
      <c r="O1124">
        <v>4.58</v>
      </c>
      <c r="P1124">
        <v>0.0</v>
      </c>
      <c r="Q1124">
        <v>30.0</v>
      </c>
      <c r="R1124"/>
      <c r="S1124"/>
      <c r="T1124"/>
      <c r="U1124"/>
      <c r="V1124"/>
      <c r="W1124">
        <v>18</v>
      </c>
    </row>
    <row r="1125" spans="1:23">
      <c r="A1125"/>
      <c r="B1125" t="s">
        <v>122</v>
      </c>
      <c r="C1125" t="s">
        <v>122</v>
      </c>
      <c r="D1125" t="s">
        <v>33</v>
      </c>
      <c r="E1125" t="s">
        <v>34</v>
      </c>
      <c r="F1125" t="str">
        <f>"0014743"</f>
        <v>0014743</v>
      </c>
      <c r="G1125">
        <v>1</v>
      </c>
      <c r="H1125" t="str">
        <f>"00000001"</f>
        <v>00000001</v>
      </c>
      <c r="I1125" t="s">
        <v>35</v>
      </c>
      <c r="J1125"/>
      <c r="K1125">
        <v>44.07</v>
      </c>
      <c r="L1125">
        <v>0.0</v>
      </c>
      <c r="M1125"/>
      <c r="N1125"/>
      <c r="O1125">
        <v>7.93</v>
      </c>
      <c r="P1125">
        <v>0.0</v>
      </c>
      <c r="Q1125">
        <v>52.0</v>
      </c>
      <c r="R1125"/>
      <c r="S1125"/>
      <c r="T1125"/>
      <c r="U1125"/>
      <c r="V1125"/>
      <c r="W1125">
        <v>18</v>
      </c>
    </row>
    <row r="1126" spans="1:23">
      <c r="A1126"/>
      <c r="B1126" t="s">
        <v>122</v>
      </c>
      <c r="C1126" t="s">
        <v>122</v>
      </c>
      <c r="D1126" t="s">
        <v>33</v>
      </c>
      <c r="E1126" t="s">
        <v>34</v>
      </c>
      <c r="F1126" t="str">
        <f>"0014744"</f>
        <v>0014744</v>
      </c>
      <c r="G1126">
        <v>1</v>
      </c>
      <c r="H1126" t="str">
        <f>"00000001"</f>
        <v>00000001</v>
      </c>
      <c r="I1126" t="s">
        <v>35</v>
      </c>
      <c r="J1126"/>
      <c r="K1126">
        <v>6.78</v>
      </c>
      <c r="L1126">
        <v>0.0</v>
      </c>
      <c r="M1126"/>
      <c r="N1126"/>
      <c r="O1126">
        <v>1.22</v>
      </c>
      <c r="P1126">
        <v>0.0</v>
      </c>
      <c r="Q1126">
        <v>8.0</v>
      </c>
      <c r="R1126"/>
      <c r="S1126"/>
      <c r="T1126"/>
      <c r="U1126"/>
      <c r="V1126"/>
      <c r="W1126">
        <v>18</v>
      </c>
    </row>
    <row r="1127" spans="1:23">
      <c r="A1127"/>
      <c r="B1127" t="s">
        <v>122</v>
      </c>
      <c r="C1127" t="s">
        <v>122</v>
      </c>
      <c r="D1127" t="s">
        <v>33</v>
      </c>
      <c r="E1127" t="s">
        <v>34</v>
      </c>
      <c r="F1127" t="str">
        <f>"0014745"</f>
        <v>0014745</v>
      </c>
      <c r="G1127">
        <v>1</v>
      </c>
      <c r="H1127" t="str">
        <f>"00000001"</f>
        <v>00000001</v>
      </c>
      <c r="I1127" t="s">
        <v>35</v>
      </c>
      <c r="J1127"/>
      <c r="K1127">
        <v>12.71</v>
      </c>
      <c r="L1127">
        <v>0.0</v>
      </c>
      <c r="M1127"/>
      <c r="N1127"/>
      <c r="O1127">
        <v>2.29</v>
      </c>
      <c r="P1127">
        <v>0.0</v>
      </c>
      <c r="Q1127">
        <v>15.0</v>
      </c>
      <c r="R1127"/>
      <c r="S1127"/>
      <c r="T1127"/>
      <c r="U1127"/>
      <c r="V1127"/>
      <c r="W1127">
        <v>18</v>
      </c>
    </row>
    <row r="1128" spans="1:23">
      <c r="A1128"/>
      <c r="B1128" t="s">
        <v>122</v>
      </c>
      <c r="C1128" t="s">
        <v>122</v>
      </c>
      <c r="D1128" t="s">
        <v>33</v>
      </c>
      <c r="E1128" t="s">
        <v>34</v>
      </c>
      <c r="F1128" t="str">
        <f>"0014746"</f>
        <v>0014746</v>
      </c>
      <c r="G1128">
        <v>1</v>
      </c>
      <c r="H1128" t="str">
        <f>"000000SC"</f>
        <v>000000SC</v>
      </c>
      <c r="I1128" t="s">
        <v>126</v>
      </c>
      <c r="J1128"/>
      <c r="K1128">
        <v>16.95</v>
      </c>
      <c r="L1128">
        <v>0.0</v>
      </c>
      <c r="M1128"/>
      <c r="N1128"/>
      <c r="O1128">
        <v>3.05</v>
      </c>
      <c r="P1128">
        <v>0.0</v>
      </c>
      <c r="Q1128">
        <v>20.0</v>
      </c>
      <c r="R1128"/>
      <c r="S1128"/>
      <c r="T1128"/>
      <c r="U1128"/>
      <c r="V1128"/>
      <c r="W1128">
        <v>18</v>
      </c>
    </row>
    <row r="1129" spans="1:23">
      <c r="A1129"/>
      <c r="B1129" t="s">
        <v>122</v>
      </c>
      <c r="C1129" t="s">
        <v>122</v>
      </c>
      <c r="D1129" t="s">
        <v>33</v>
      </c>
      <c r="E1129" t="s">
        <v>34</v>
      </c>
      <c r="F1129" t="str">
        <f>"0014747"</f>
        <v>0014747</v>
      </c>
      <c r="G1129">
        <v>6</v>
      </c>
      <c r="H1129" t="str">
        <f>"20491565617"</f>
        <v>20491565617</v>
      </c>
      <c r="I1129" t="s">
        <v>127</v>
      </c>
      <c r="J1129"/>
      <c r="K1129">
        <v>25.42</v>
      </c>
      <c r="L1129">
        <v>0.0</v>
      </c>
      <c r="M1129"/>
      <c r="N1129"/>
      <c r="O1129">
        <v>4.58</v>
      </c>
      <c r="P1129">
        <v>0.0</v>
      </c>
      <c r="Q1129">
        <v>30.0</v>
      </c>
      <c r="R1129"/>
      <c r="S1129"/>
      <c r="T1129"/>
      <c r="U1129"/>
      <c r="V1129"/>
      <c r="W1129">
        <v>18</v>
      </c>
    </row>
    <row r="1130" spans="1:23">
      <c r="A1130"/>
      <c r="B1130" t="s">
        <v>122</v>
      </c>
      <c r="C1130" t="s">
        <v>122</v>
      </c>
      <c r="D1130" t="s">
        <v>33</v>
      </c>
      <c r="E1130" t="s">
        <v>34</v>
      </c>
      <c r="F1130" t="str">
        <f>"0014748"</f>
        <v>0014748</v>
      </c>
      <c r="G1130">
        <v>1</v>
      </c>
      <c r="H1130" t="str">
        <f>"00000001"</f>
        <v>00000001</v>
      </c>
      <c r="I1130" t="s">
        <v>35</v>
      </c>
      <c r="J1130"/>
      <c r="K1130">
        <v>5.08</v>
      </c>
      <c r="L1130">
        <v>0.0</v>
      </c>
      <c r="M1130"/>
      <c r="N1130"/>
      <c r="O1130">
        <v>0.92</v>
      </c>
      <c r="P1130">
        <v>0.0</v>
      </c>
      <c r="Q1130">
        <v>6.0</v>
      </c>
      <c r="R1130"/>
      <c r="S1130"/>
      <c r="T1130"/>
      <c r="U1130"/>
      <c r="V1130"/>
      <c r="W1130">
        <v>18</v>
      </c>
    </row>
    <row r="1131" spans="1:23">
      <c r="A1131"/>
      <c r="B1131" t="s">
        <v>122</v>
      </c>
      <c r="C1131" t="s">
        <v>122</v>
      </c>
      <c r="D1131" t="s">
        <v>33</v>
      </c>
      <c r="E1131" t="s">
        <v>34</v>
      </c>
      <c r="F1131" t="str">
        <f>"0014749"</f>
        <v>0014749</v>
      </c>
      <c r="G1131">
        <v>1</v>
      </c>
      <c r="H1131" t="str">
        <f>"IEDCJC00"</f>
        <v>IEDCJC00</v>
      </c>
      <c r="I1131" t="s">
        <v>128</v>
      </c>
      <c r="J1131"/>
      <c r="K1131">
        <v>15.25</v>
      </c>
      <c r="L1131">
        <v>0.0</v>
      </c>
      <c r="M1131"/>
      <c r="N1131"/>
      <c r="O1131">
        <v>2.75</v>
      </c>
      <c r="P1131">
        <v>0.0</v>
      </c>
      <c r="Q1131">
        <v>18.0</v>
      </c>
      <c r="R1131"/>
      <c r="S1131"/>
      <c r="T1131"/>
      <c r="U1131"/>
      <c r="V1131"/>
      <c r="W1131">
        <v>18</v>
      </c>
    </row>
    <row r="1132" spans="1:23">
      <c r="A1132"/>
      <c r="B1132" t="s">
        <v>122</v>
      </c>
      <c r="C1132" t="s">
        <v>122</v>
      </c>
      <c r="D1132" t="s">
        <v>33</v>
      </c>
      <c r="E1132" t="s">
        <v>34</v>
      </c>
      <c r="F1132" t="str">
        <f>"0014750"</f>
        <v>0014750</v>
      </c>
      <c r="G1132">
        <v>1</v>
      </c>
      <c r="H1132" t="str">
        <f>"00000001"</f>
        <v>00000001</v>
      </c>
      <c r="I1132" t="s">
        <v>35</v>
      </c>
      <c r="J1132"/>
      <c r="K1132">
        <v>29.66</v>
      </c>
      <c r="L1132">
        <v>0.0</v>
      </c>
      <c r="M1132"/>
      <c r="N1132"/>
      <c r="O1132">
        <v>5.34</v>
      </c>
      <c r="P1132">
        <v>0.0</v>
      </c>
      <c r="Q1132">
        <v>35.0</v>
      </c>
      <c r="R1132"/>
      <c r="S1132"/>
      <c r="T1132"/>
      <c r="U1132"/>
      <c r="V1132"/>
      <c r="W1132">
        <v>18</v>
      </c>
    </row>
    <row r="1133" spans="1:23">
      <c r="A1133"/>
      <c r="B1133" t="s">
        <v>122</v>
      </c>
      <c r="C1133" t="s">
        <v>122</v>
      </c>
      <c r="D1133" t="s">
        <v>33</v>
      </c>
      <c r="E1133" t="s">
        <v>34</v>
      </c>
      <c r="F1133" t="str">
        <f>"0014751"</f>
        <v>0014751</v>
      </c>
      <c r="G1133">
        <v>1</v>
      </c>
      <c r="H1133" t="str">
        <f>"00000001"</f>
        <v>00000001</v>
      </c>
      <c r="I1133" t="s">
        <v>35</v>
      </c>
      <c r="J1133"/>
      <c r="K1133">
        <v>16.95</v>
      </c>
      <c r="L1133">
        <v>0.0</v>
      </c>
      <c r="M1133"/>
      <c r="N1133"/>
      <c r="O1133">
        <v>3.05</v>
      </c>
      <c r="P1133">
        <v>0.0</v>
      </c>
      <c r="Q1133">
        <v>20.0</v>
      </c>
      <c r="R1133"/>
      <c r="S1133"/>
      <c r="T1133"/>
      <c r="U1133"/>
      <c r="V1133"/>
      <c r="W1133">
        <v>18</v>
      </c>
    </row>
    <row r="1134" spans="1:23">
      <c r="A1134"/>
      <c r="B1134" t="s">
        <v>122</v>
      </c>
      <c r="C1134" t="s">
        <v>122</v>
      </c>
      <c r="D1134" t="s">
        <v>33</v>
      </c>
      <c r="E1134" t="s">
        <v>34</v>
      </c>
      <c r="F1134" t="str">
        <f>"0014752"</f>
        <v>0014752</v>
      </c>
      <c r="G1134">
        <v>1</v>
      </c>
      <c r="H1134" t="str">
        <f>"00000001"</f>
        <v>00000001</v>
      </c>
      <c r="I1134" t="s">
        <v>35</v>
      </c>
      <c r="J1134"/>
      <c r="K1134">
        <v>16.95</v>
      </c>
      <c r="L1134">
        <v>0.0</v>
      </c>
      <c r="M1134"/>
      <c r="N1134"/>
      <c r="O1134">
        <v>3.05</v>
      </c>
      <c r="P1134">
        <v>0.0</v>
      </c>
      <c r="Q1134">
        <v>20.0</v>
      </c>
      <c r="R1134"/>
      <c r="S1134"/>
      <c r="T1134"/>
      <c r="U1134"/>
      <c r="V1134"/>
      <c r="W1134">
        <v>18</v>
      </c>
    </row>
    <row r="1135" spans="1:23">
      <c r="A1135"/>
      <c r="B1135" t="s">
        <v>122</v>
      </c>
      <c r="C1135" t="s">
        <v>122</v>
      </c>
      <c r="D1135" t="s">
        <v>33</v>
      </c>
      <c r="E1135" t="s">
        <v>34</v>
      </c>
      <c r="F1135" t="str">
        <f>"0014753"</f>
        <v>0014753</v>
      </c>
      <c r="G1135">
        <v>1</v>
      </c>
      <c r="H1135" t="str">
        <f>"00000001"</f>
        <v>00000001</v>
      </c>
      <c r="I1135" t="s">
        <v>35</v>
      </c>
      <c r="J1135"/>
      <c r="K1135">
        <v>13.56</v>
      </c>
      <c r="L1135">
        <v>0.0</v>
      </c>
      <c r="M1135"/>
      <c r="N1135"/>
      <c r="O1135">
        <v>2.44</v>
      </c>
      <c r="P1135">
        <v>0.0</v>
      </c>
      <c r="Q1135">
        <v>16.0</v>
      </c>
      <c r="R1135"/>
      <c r="S1135"/>
      <c r="T1135"/>
      <c r="U1135"/>
      <c r="V1135"/>
      <c r="W1135">
        <v>18</v>
      </c>
    </row>
    <row r="1136" spans="1:23">
      <c r="A1136"/>
      <c r="B1136" t="s">
        <v>122</v>
      </c>
      <c r="C1136" t="s">
        <v>122</v>
      </c>
      <c r="D1136" t="s">
        <v>33</v>
      </c>
      <c r="E1136" t="s">
        <v>34</v>
      </c>
      <c r="F1136" t="str">
        <f>"0014754"</f>
        <v>0014754</v>
      </c>
      <c r="G1136">
        <v>1</v>
      </c>
      <c r="H1136" t="str">
        <f>"00000001"</f>
        <v>00000001</v>
      </c>
      <c r="I1136" t="s">
        <v>35</v>
      </c>
      <c r="J1136"/>
      <c r="K1136">
        <v>7.63</v>
      </c>
      <c r="L1136">
        <v>0.0</v>
      </c>
      <c r="M1136"/>
      <c r="N1136"/>
      <c r="O1136">
        <v>1.37</v>
      </c>
      <c r="P1136">
        <v>0.0</v>
      </c>
      <c r="Q1136">
        <v>9.0</v>
      </c>
      <c r="R1136"/>
      <c r="S1136"/>
      <c r="T1136"/>
      <c r="U1136"/>
      <c r="V1136"/>
      <c r="W1136">
        <v>18</v>
      </c>
    </row>
    <row r="1137" spans="1:23">
      <c r="A1137"/>
      <c r="B1137" t="s">
        <v>122</v>
      </c>
      <c r="C1137" t="s">
        <v>122</v>
      </c>
      <c r="D1137" t="s">
        <v>33</v>
      </c>
      <c r="E1137" t="s">
        <v>34</v>
      </c>
      <c r="F1137" t="str">
        <f>"0014755"</f>
        <v>0014755</v>
      </c>
      <c r="G1137">
        <v>1</v>
      </c>
      <c r="H1137" t="str">
        <f>"00000001"</f>
        <v>00000001</v>
      </c>
      <c r="I1137" t="s">
        <v>35</v>
      </c>
      <c r="J1137"/>
      <c r="K1137">
        <v>12.71</v>
      </c>
      <c r="L1137">
        <v>0.0</v>
      </c>
      <c r="M1137"/>
      <c r="N1137"/>
      <c r="O1137">
        <v>2.29</v>
      </c>
      <c r="P1137">
        <v>0.0</v>
      </c>
      <c r="Q1137">
        <v>15.0</v>
      </c>
      <c r="R1137"/>
      <c r="S1137"/>
      <c r="T1137"/>
      <c r="U1137"/>
      <c r="V1137"/>
      <c r="W1137">
        <v>18</v>
      </c>
    </row>
    <row r="1138" spans="1:23">
      <c r="A1138"/>
      <c r="B1138" t="s">
        <v>122</v>
      </c>
      <c r="C1138" t="s">
        <v>122</v>
      </c>
      <c r="D1138" t="s">
        <v>33</v>
      </c>
      <c r="E1138" t="s">
        <v>34</v>
      </c>
      <c r="F1138" t="str">
        <f>"0014756"</f>
        <v>0014756</v>
      </c>
      <c r="G1138">
        <v>1</v>
      </c>
      <c r="H1138" t="str">
        <f>"00000001"</f>
        <v>00000001</v>
      </c>
      <c r="I1138" t="s">
        <v>35</v>
      </c>
      <c r="J1138"/>
      <c r="K1138">
        <v>9.32</v>
      </c>
      <c r="L1138">
        <v>0.0</v>
      </c>
      <c r="M1138"/>
      <c r="N1138"/>
      <c r="O1138">
        <v>1.68</v>
      </c>
      <c r="P1138">
        <v>0.0</v>
      </c>
      <c r="Q1138">
        <v>11.0</v>
      </c>
      <c r="R1138"/>
      <c r="S1138"/>
      <c r="T1138"/>
      <c r="U1138"/>
      <c r="V1138"/>
      <c r="W1138">
        <v>18</v>
      </c>
    </row>
    <row r="1139" spans="1:23">
      <c r="A1139"/>
      <c r="B1139" t="s">
        <v>122</v>
      </c>
      <c r="C1139" t="s">
        <v>122</v>
      </c>
      <c r="D1139" t="s">
        <v>33</v>
      </c>
      <c r="E1139" t="s">
        <v>34</v>
      </c>
      <c r="F1139" t="str">
        <f>"0014757"</f>
        <v>0014757</v>
      </c>
      <c r="G1139">
        <v>1</v>
      </c>
      <c r="H1139" t="str">
        <f>"00000001"</f>
        <v>00000001</v>
      </c>
      <c r="I1139" t="s">
        <v>35</v>
      </c>
      <c r="J1139"/>
      <c r="K1139">
        <v>13.98</v>
      </c>
      <c r="L1139">
        <v>0.0</v>
      </c>
      <c r="M1139"/>
      <c r="N1139"/>
      <c r="O1139">
        <v>2.52</v>
      </c>
      <c r="P1139">
        <v>0.0</v>
      </c>
      <c r="Q1139">
        <v>16.5</v>
      </c>
      <c r="R1139"/>
      <c r="S1139"/>
      <c r="T1139"/>
      <c r="U1139"/>
      <c r="V1139"/>
      <c r="W1139">
        <v>18</v>
      </c>
    </row>
    <row r="1140" spans="1:23">
      <c r="A1140"/>
      <c r="B1140" t="s">
        <v>122</v>
      </c>
      <c r="C1140" t="s">
        <v>122</v>
      </c>
      <c r="D1140" t="s">
        <v>33</v>
      </c>
      <c r="E1140" t="s">
        <v>34</v>
      </c>
      <c r="F1140" t="str">
        <f>"0014758"</f>
        <v>0014758</v>
      </c>
      <c r="G1140">
        <v>1</v>
      </c>
      <c r="H1140" t="str">
        <f>"00000001"</f>
        <v>00000001</v>
      </c>
      <c r="I1140" t="s">
        <v>35</v>
      </c>
      <c r="J1140"/>
      <c r="K1140">
        <v>10.17</v>
      </c>
      <c r="L1140">
        <v>0.0</v>
      </c>
      <c r="M1140"/>
      <c r="N1140"/>
      <c r="O1140">
        <v>1.83</v>
      </c>
      <c r="P1140">
        <v>0.0</v>
      </c>
      <c r="Q1140">
        <v>12.0</v>
      </c>
      <c r="R1140"/>
      <c r="S1140"/>
      <c r="T1140"/>
      <c r="U1140"/>
      <c r="V1140"/>
      <c r="W1140">
        <v>18</v>
      </c>
    </row>
    <row r="1141" spans="1:23">
      <c r="A1141"/>
      <c r="B1141" t="s">
        <v>122</v>
      </c>
      <c r="C1141" t="s">
        <v>122</v>
      </c>
      <c r="D1141" t="s">
        <v>33</v>
      </c>
      <c r="E1141" t="s">
        <v>34</v>
      </c>
      <c r="F1141" t="str">
        <f>"0014759"</f>
        <v>0014759</v>
      </c>
      <c r="G1141">
        <v>1</v>
      </c>
      <c r="H1141" t="str">
        <f>"00000001"</f>
        <v>00000001</v>
      </c>
      <c r="I1141" t="s">
        <v>35</v>
      </c>
      <c r="J1141"/>
      <c r="K1141">
        <v>18.64</v>
      </c>
      <c r="L1141">
        <v>0.0</v>
      </c>
      <c r="M1141"/>
      <c r="N1141"/>
      <c r="O1141">
        <v>3.36</v>
      </c>
      <c r="P1141">
        <v>0.0</v>
      </c>
      <c r="Q1141">
        <v>22.0</v>
      </c>
      <c r="R1141"/>
      <c r="S1141"/>
      <c r="T1141"/>
      <c r="U1141"/>
      <c r="V1141"/>
      <c r="W1141">
        <v>18</v>
      </c>
    </row>
    <row r="1142" spans="1:23">
      <c r="A1142"/>
      <c r="B1142" t="s">
        <v>122</v>
      </c>
      <c r="C1142" t="s">
        <v>122</v>
      </c>
      <c r="D1142" t="s">
        <v>33</v>
      </c>
      <c r="E1142" t="s">
        <v>34</v>
      </c>
      <c r="F1142" t="str">
        <f>"0014760"</f>
        <v>0014760</v>
      </c>
      <c r="G1142">
        <v>1</v>
      </c>
      <c r="H1142" t="str">
        <f>"00000001"</f>
        <v>00000001</v>
      </c>
      <c r="I1142" t="s">
        <v>35</v>
      </c>
      <c r="J1142"/>
      <c r="K1142">
        <v>10.17</v>
      </c>
      <c r="L1142">
        <v>0.0</v>
      </c>
      <c r="M1142"/>
      <c r="N1142"/>
      <c r="O1142">
        <v>1.83</v>
      </c>
      <c r="P1142">
        <v>0.0</v>
      </c>
      <c r="Q1142">
        <v>12.0</v>
      </c>
      <c r="R1142"/>
      <c r="S1142"/>
      <c r="T1142"/>
      <c r="U1142"/>
      <c r="V1142"/>
      <c r="W1142">
        <v>18</v>
      </c>
    </row>
    <row r="1143" spans="1:23">
      <c r="A1143"/>
      <c r="B1143" t="s">
        <v>122</v>
      </c>
      <c r="C1143" t="s">
        <v>122</v>
      </c>
      <c r="D1143" t="s">
        <v>33</v>
      </c>
      <c r="E1143" t="s">
        <v>34</v>
      </c>
      <c r="F1143" t="str">
        <f>"0014761"</f>
        <v>0014761</v>
      </c>
      <c r="G1143">
        <v>1</v>
      </c>
      <c r="H1143" t="str">
        <f>"00000001"</f>
        <v>00000001</v>
      </c>
      <c r="I1143" t="s">
        <v>35</v>
      </c>
      <c r="J1143"/>
      <c r="K1143">
        <v>16.95</v>
      </c>
      <c r="L1143">
        <v>0.0</v>
      </c>
      <c r="M1143"/>
      <c r="N1143"/>
      <c r="O1143">
        <v>3.05</v>
      </c>
      <c r="P1143">
        <v>0.0</v>
      </c>
      <c r="Q1143">
        <v>20.0</v>
      </c>
      <c r="R1143"/>
      <c r="S1143"/>
      <c r="T1143"/>
      <c r="U1143"/>
      <c r="V1143"/>
      <c r="W1143">
        <v>18</v>
      </c>
    </row>
    <row r="1144" spans="1:23">
      <c r="A1144"/>
      <c r="B1144" t="s">
        <v>122</v>
      </c>
      <c r="C1144" t="s">
        <v>122</v>
      </c>
      <c r="D1144" t="s">
        <v>33</v>
      </c>
      <c r="E1144" t="s">
        <v>34</v>
      </c>
      <c r="F1144" t="str">
        <f>"0014762"</f>
        <v>0014762</v>
      </c>
      <c r="G1144">
        <v>1</v>
      </c>
      <c r="H1144" t="str">
        <f>"00000001"</f>
        <v>00000001</v>
      </c>
      <c r="I1144" t="s">
        <v>35</v>
      </c>
      <c r="J1144"/>
      <c r="K1144">
        <v>15.25</v>
      </c>
      <c r="L1144">
        <v>0.0</v>
      </c>
      <c r="M1144"/>
      <c r="N1144"/>
      <c r="O1144">
        <v>2.75</v>
      </c>
      <c r="P1144">
        <v>0.0</v>
      </c>
      <c r="Q1144">
        <v>18.0</v>
      </c>
      <c r="R1144"/>
      <c r="S1144"/>
      <c r="T1144"/>
      <c r="U1144"/>
      <c r="V1144"/>
      <c r="W1144">
        <v>18</v>
      </c>
    </row>
    <row r="1145" spans="1:23">
      <c r="A1145"/>
      <c r="B1145" t="s">
        <v>122</v>
      </c>
      <c r="C1145" t="s">
        <v>122</v>
      </c>
      <c r="D1145" t="s">
        <v>33</v>
      </c>
      <c r="E1145" t="s">
        <v>34</v>
      </c>
      <c r="F1145" t="str">
        <f>"0014763"</f>
        <v>0014763</v>
      </c>
      <c r="G1145">
        <v>1</v>
      </c>
      <c r="H1145" t="str">
        <f>"00000001"</f>
        <v>00000001</v>
      </c>
      <c r="I1145" t="s">
        <v>35</v>
      </c>
      <c r="J1145"/>
      <c r="K1145">
        <v>25.42</v>
      </c>
      <c r="L1145">
        <v>0.0</v>
      </c>
      <c r="M1145"/>
      <c r="N1145"/>
      <c r="O1145">
        <v>4.58</v>
      </c>
      <c r="P1145">
        <v>0.0</v>
      </c>
      <c r="Q1145">
        <v>30.0</v>
      </c>
      <c r="R1145"/>
      <c r="S1145"/>
      <c r="T1145"/>
      <c r="U1145"/>
      <c r="V1145"/>
      <c r="W1145">
        <v>18</v>
      </c>
    </row>
    <row r="1146" spans="1:23">
      <c r="A1146"/>
      <c r="B1146" t="s">
        <v>122</v>
      </c>
      <c r="C1146" t="s">
        <v>122</v>
      </c>
      <c r="D1146" t="s">
        <v>33</v>
      </c>
      <c r="E1146" t="s">
        <v>34</v>
      </c>
      <c r="F1146" t="str">
        <f>"0014764"</f>
        <v>0014764</v>
      </c>
      <c r="G1146">
        <v>1</v>
      </c>
      <c r="H1146" t="str">
        <f>"00000001"</f>
        <v>00000001</v>
      </c>
      <c r="I1146" t="s">
        <v>35</v>
      </c>
      <c r="J1146"/>
      <c r="K1146">
        <v>11.86</v>
      </c>
      <c r="L1146">
        <v>0.0</v>
      </c>
      <c r="M1146"/>
      <c r="N1146"/>
      <c r="O1146">
        <v>2.14</v>
      </c>
      <c r="P1146">
        <v>0.0</v>
      </c>
      <c r="Q1146">
        <v>14.0</v>
      </c>
      <c r="R1146"/>
      <c r="S1146"/>
      <c r="T1146"/>
      <c r="U1146"/>
      <c r="V1146"/>
      <c r="W1146">
        <v>18</v>
      </c>
    </row>
    <row r="1147" spans="1:23">
      <c r="A1147"/>
      <c r="B1147" t="s">
        <v>122</v>
      </c>
      <c r="C1147" t="s">
        <v>122</v>
      </c>
      <c r="D1147" t="s">
        <v>33</v>
      </c>
      <c r="E1147" t="s">
        <v>34</v>
      </c>
      <c r="F1147" t="str">
        <f>"0014765"</f>
        <v>0014765</v>
      </c>
      <c r="G1147">
        <v>1</v>
      </c>
      <c r="H1147" t="str">
        <f>"00000001"</f>
        <v>00000001</v>
      </c>
      <c r="I1147" t="s">
        <v>35</v>
      </c>
      <c r="J1147"/>
      <c r="K1147">
        <v>17.8</v>
      </c>
      <c r="L1147">
        <v>0.0</v>
      </c>
      <c r="M1147"/>
      <c r="N1147"/>
      <c r="O1147">
        <v>3.2</v>
      </c>
      <c r="P1147">
        <v>0.0</v>
      </c>
      <c r="Q1147">
        <v>21.0</v>
      </c>
      <c r="R1147"/>
      <c r="S1147"/>
      <c r="T1147"/>
      <c r="U1147"/>
      <c r="V1147"/>
      <c r="W1147">
        <v>18</v>
      </c>
    </row>
    <row r="1148" spans="1:23">
      <c r="A1148"/>
      <c r="B1148" t="s">
        <v>122</v>
      </c>
      <c r="C1148" t="s">
        <v>122</v>
      </c>
      <c r="D1148" t="s">
        <v>33</v>
      </c>
      <c r="E1148" t="s">
        <v>34</v>
      </c>
      <c r="F1148" t="str">
        <f>"0014766"</f>
        <v>0014766</v>
      </c>
      <c r="G1148">
        <v>1</v>
      </c>
      <c r="H1148" t="str">
        <f>"00000001"</f>
        <v>00000001</v>
      </c>
      <c r="I1148" t="s">
        <v>35</v>
      </c>
      <c r="J1148"/>
      <c r="K1148">
        <v>10.17</v>
      </c>
      <c r="L1148">
        <v>0.0</v>
      </c>
      <c r="M1148"/>
      <c r="N1148"/>
      <c r="O1148">
        <v>1.83</v>
      </c>
      <c r="P1148">
        <v>0.0</v>
      </c>
      <c r="Q1148">
        <v>12.0</v>
      </c>
      <c r="R1148"/>
      <c r="S1148"/>
      <c r="T1148"/>
      <c r="U1148"/>
      <c r="V1148"/>
      <c r="W1148">
        <v>18</v>
      </c>
    </row>
    <row r="1149" spans="1:23">
      <c r="A1149"/>
      <c r="B1149" t="s">
        <v>122</v>
      </c>
      <c r="C1149" t="s">
        <v>122</v>
      </c>
      <c r="D1149" t="s">
        <v>33</v>
      </c>
      <c r="E1149" t="s">
        <v>34</v>
      </c>
      <c r="F1149" t="str">
        <f>"0014767"</f>
        <v>0014767</v>
      </c>
      <c r="G1149">
        <v>1</v>
      </c>
      <c r="H1149" t="str">
        <f>"00000001"</f>
        <v>00000001</v>
      </c>
      <c r="I1149" t="s">
        <v>35</v>
      </c>
      <c r="J1149"/>
      <c r="K1149">
        <v>11.86</v>
      </c>
      <c r="L1149">
        <v>0.0</v>
      </c>
      <c r="M1149"/>
      <c r="N1149"/>
      <c r="O1149">
        <v>2.14</v>
      </c>
      <c r="P1149">
        <v>0.0</v>
      </c>
      <c r="Q1149">
        <v>14.0</v>
      </c>
      <c r="R1149"/>
      <c r="S1149"/>
      <c r="T1149"/>
      <c r="U1149"/>
      <c r="V1149"/>
      <c r="W1149">
        <v>18</v>
      </c>
    </row>
    <row r="1150" spans="1:23">
      <c r="A1150"/>
      <c r="B1150" t="s">
        <v>122</v>
      </c>
      <c r="C1150" t="s">
        <v>122</v>
      </c>
      <c r="D1150" t="s">
        <v>33</v>
      </c>
      <c r="E1150" t="s">
        <v>34</v>
      </c>
      <c r="F1150" t="str">
        <f>"0014768"</f>
        <v>0014768</v>
      </c>
      <c r="G1150">
        <v>1</v>
      </c>
      <c r="H1150" t="str">
        <f>"00000001"</f>
        <v>00000001</v>
      </c>
      <c r="I1150" t="s">
        <v>35</v>
      </c>
      <c r="J1150"/>
      <c r="K1150">
        <v>3.39</v>
      </c>
      <c r="L1150">
        <v>0.0</v>
      </c>
      <c r="M1150"/>
      <c r="N1150"/>
      <c r="O1150">
        <v>0.61</v>
      </c>
      <c r="P1150">
        <v>0.0</v>
      </c>
      <c r="Q1150">
        <v>4.0</v>
      </c>
      <c r="R1150"/>
      <c r="S1150"/>
      <c r="T1150"/>
      <c r="U1150"/>
      <c r="V1150"/>
      <c r="W1150">
        <v>18</v>
      </c>
    </row>
    <row r="1151" spans="1:23">
      <c r="A1151"/>
      <c r="B1151" t="s">
        <v>122</v>
      </c>
      <c r="C1151" t="s">
        <v>122</v>
      </c>
      <c r="D1151" t="s">
        <v>33</v>
      </c>
      <c r="E1151" t="s">
        <v>34</v>
      </c>
      <c r="F1151" t="str">
        <f>"0014769"</f>
        <v>0014769</v>
      </c>
      <c r="G1151">
        <v>1</v>
      </c>
      <c r="H1151" t="str">
        <f>"00000001"</f>
        <v>00000001</v>
      </c>
      <c r="I1151" t="s">
        <v>35</v>
      </c>
      <c r="J1151"/>
      <c r="K1151">
        <v>4.24</v>
      </c>
      <c r="L1151">
        <v>0.0</v>
      </c>
      <c r="M1151"/>
      <c r="N1151"/>
      <c r="O1151">
        <v>0.76</v>
      </c>
      <c r="P1151">
        <v>0.0</v>
      </c>
      <c r="Q1151">
        <v>5.0</v>
      </c>
      <c r="R1151"/>
      <c r="S1151"/>
      <c r="T1151"/>
      <c r="U1151"/>
      <c r="V1151"/>
      <c r="W1151">
        <v>18</v>
      </c>
    </row>
    <row r="1152" spans="1:23">
      <c r="A1152"/>
      <c r="B1152" t="s">
        <v>122</v>
      </c>
      <c r="C1152" t="s">
        <v>122</v>
      </c>
      <c r="D1152" t="s">
        <v>33</v>
      </c>
      <c r="E1152" t="s">
        <v>34</v>
      </c>
      <c r="F1152" t="str">
        <f>"0014770"</f>
        <v>0014770</v>
      </c>
      <c r="G1152">
        <v>1</v>
      </c>
      <c r="H1152" t="str">
        <f>"00000001"</f>
        <v>00000001</v>
      </c>
      <c r="I1152" t="s">
        <v>35</v>
      </c>
      <c r="J1152"/>
      <c r="K1152">
        <v>12.71</v>
      </c>
      <c r="L1152">
        <v>0.0</v>
      </c>
      <c r="M1152"/>
      <c r="N1152"/>
      <c r="O1152">
        <v>2.29</v>
      </c>
      <c r="P1152">
        <v>0.0</v>
      </c>
      <c r="Q1152">
        <v>15.0</v>
      </c>
      <c r="R1152"/>
      <c r="S1152"/>
      <c r="T1152"/>
      <c r="U1152"/>
      <c r="V1152"/>
      <c r="W1152">
        <v>18</v>
      </c>
    </row>
    <row r="1153" spans="1:23">
      <c r="A1153"/>
      <c r="B1153" t="s">
        <v>122</v>
      </c>
      <c r="C1153" t="s">
        <v>122</v>
      </c>
      <c r="D1153" t="s">
        <v>33</v>
      </c>
      <c r="E1153" t="s">
        <v>34</v>
      </c>
      <c r="F1153" t="str">
        <f>"0014771"</f>
        <v>0014771</v>
      </c>
      <c r="G1153">
        <v>1</v>
      </c>
      <c r="H1153" t="str">
        <f>"00000001"</f>
        <v>00000001</v>
      </c>
      <c r="I1153" t="s">
        <v>35</v>
      </c>
      <c r="J1153"/>
      <c r="K1153">
        <v>5.08</v>
      </c>
      <c r="L1153">
        <v>0.0</v>
      </c>
      <c r="M1153"/>
      <c r="N1153"/>
      <c r="O1153">
        <v>0.92</v>
      </c>
      <c r="P1153">
        <v>0.0</v>
      </c>
      <c r="Q1153">
        <v>6.0</v>
      </c>
      <c r="R1153"/>
      <c r="S1153"/>
      <c r="T1153"/>
      <c r="U1153"/>
      <c r="V1153"/>
      <c r="W1153">
        <v>18</v>
      </c>
    </row>
    <row r="1154" spans="1:23">
      <c r="A1154"/>
      <c r="B1154" t="s">
        <v>122</v>
      </c>
      <c r="C1154" t="s">
        <v>122</v>
      </c>
      <c r="D1154" t="s">
        <v>33</v>
      </c>
      <c r="E1154" t="s">
        <v>34</v>
      </c>
      <c r="F1154" t="str">
        <f>"0014772"</f>
        <v>0014772</v>
      </c>
      <c r="G1154">
        <v>1</v>
      </c>
      <c r="H1154" t="str">
        <f>"00000001"</f>
        <v>00000001</v>
      </c>
      <c r="I1154" t="s">
        <v>35</v>
      </c>
      <c r="J1154"/>
      <c r="K1154">
        <v>8.47</v>
      </c>
      <c r="L1154">
        <v>0.0</v>
      </c>
      <c r="M1154"/>
      <c r="N1154"/>
      <c r="O1154">
        <v>1.53</v>
      </c>
      <c r="P1154">
        <v>0.0</v>
      </c>
      <c r="Q1154">
        <v>10.0</v>
      </c>
      <c r="R1154"/>
      <c r="S1154"/>
      <c r="T1154"/>
      <c r="U1154"/>
      <c r="V1154"/>
      <c r="W1154">
        <v>18</v>
      </c>
    </row>
    <row r="1155" spans="1:23">
      <c r="A1155"/>
      <c r="B1155" t="s">
        <v>122</v>
      </c>
      <c r="C1155" t="s">
        <v>122</v>
      </c>
      <c r="D1155" t="s">
        <v>33</v>
      </c>
      <c r="E1155" t="s">
        <v>34</v>
      </c>
      <c r="F1155" t="str">
        <f>"0014773"</f>
        <v>0014773</v>
      </c>
      <c r="G1155">
        <v>1</v>
      </c>
      <c r="H1155" t="str">
        <f>"00000001"</f>
        <v>00000001</v>
      </c>
      <c r="I1155" t="s">
        <v>35</v>
      </c>
      <c r="J1155"/>
      <c r="K1155">
        <v>0.85</v>
      </c>
      <c r="L1155">
        <v>0.0</v>
      </c>
      <c r="M1155"/>
      <c r="N1155"/>
      <c r="O1155">
        <v>0.15</v>
      </c>
      <c r="P1155">
        <v>0.0</v>
      </c>
      <c r="Q1155">
        <v>1.0</v>
      </c>
      <c r="R1155"/>
      <c r="S1155"/>
      <c r="T1155"/>
      <c r="U1155"/>
      <c r="V1155"/>
      <c r="W1155">
        <v>18</v>
      </c>
    </row>
    <row r="1156" spans="1:23">
      <c r="A1156"/>
      <c r="B1156" t="s">
        <v>122</v>
      </c>
      <c r="C1156" t="s">
        <v>122</v>
      </c>
      <c r="D1156" t="s">
        <v>33</v>
      </c>
      <c r="E1156" t="s">
        <v>34</v>
      </c>
      <c r="F1156" t="str">
        <f>"0014774"</f>
        <v>0014774</v>
      </c>
      <c r="G1156">
        <v>1</v>
      </c>
      <c r="H1156" t="str">
        <f>"00000001"</f>
        <v>00000001</v>
      </c>
      <c r="I1156" t="s">
        <v>35</v>
      </c>
      <c r="J1156"/>
      <c r="K1156">
        <v>21.19</v>
      </c>
      <c r="L1156">
        <v>0.0</v>
      </c>
      <c r="M1156"/>
      <c r="N1156"/>
      <c r="O1156">
        <v>3.81</v>
      </c>
      <c r="P1156">
        <v>0.0</v>
      </c>
      <c r="Q1156">
        <v>25.0</v>
      </c>
      <c r="R1156"/>
      <c r="S1156"/>
      <c r="T1156"/>
      <c r="U1156"/>
      <c r="V1156"/>
      <c r="W1156">
        <v>18</v>
      </c>
    </row>
    <row r="1157" spans="1:23">
      <c r="A1157"/>
      <c r="B1157" t="s">
        <v>122</v>
      </c>
      <c r="C1157" t="s">
        <v>122</v>
      </c>
      <c r="D1157" t="s">
        <v>33</v>
      </c>
      <c r="E1157" t="s">
        <v>34</v>
      </c>
      <c r="F1157" t="str">
        <f>"0014775"</f>
        <v>0014775</v>
      </c>
      <c r="G1157">
        <v>1</v>
      </c>
      <c r="H1157" t="str">
        <f>"000000GA"</f>
        <v>000000GA</v>
      </c>
      <c r="I1157" t="s">
        <v>129</v>
      </c>
      <c r="J1157"/>
      <c r="K1157">
        <v>72.03</v>
      </c>
      <c r="L1157">
        <v>0.0</v>
      </c>
      <c r="M1157"/>
      <c r="N1157"/>
      <c r="O1157">
        <v>12.97</v>
      </c>
      <c r="P1157">
        <v>0.0</v>
      </c>
      <c r="Q1157">
        <v>85.0</v>
      </c>
      <c r="R1157"/>
      <c r="S1157"/>
      <c r="T1157"/>
      <c r="U1157"/>
      <c r="V1157"/>
      <c r="W1157">
        <v>18</v>
      </c>
    </row>
    <row r="1158" spans="1:23">
      <c r="A1158"/>
      <c r="B1158" t="s">
        <v>122</v>
      </c>
      <c r="C1158" t="s">
        <v>122</v>
      </c>
      <c r="D1158" t="s">
        <v>33</v>
      </c>
      <c r="E1158" t="s">
        <v>34</v>
      </c>
      <c r="F1158" t="str">
        <f>"0014776"</f>
        <v>0014776</v>
      </c>
      <c r="G1158">
        <v>1</v>
      </c>
      <c r="H1158" t="str">
        <f>"00000001"</f>
        <v>00000001</v>
      </c>
      <c r="I1158" t="s">
        <v>35</v>
      </c>
      <c r="J1158"/>
      <c r="K1158">
        <v>25.42</v>
      </c>
      <c r="L1158">
        <v>0.0</v>
      </c>
      <c r="M1158"/>
      <c r="N1158"/>
      <c r="O1158">
        <v>4.58</v>
      </c>
      <c r="P1158">
        <v>0.0</v>
      </c>
      <c r="Q1158">
        <v>30.0</v>
      </c>
      <c r="R1158"/>
      <c r="S1158"/>
      <c r="T1158"/>
      <c r="U1158"/>
      <c r="V1158"/>
      <c r="W1158">
        <v>18</v>
      </c>
    </row>
    <row r="1159" spans="1:23">
      <c r="A1159"/>
      <c r="B1159" t="s">
        <v>122</v>
      </c>
      <c r="C1159" t="s">
        <v>122</v>
      </c>
      <c r="D1159" t="s">
        <v>33</v>
      </c>
      <c r="E1159" t="s">
        <v>34</v>
      </c>
      <c r="F1159" t="str">
        <f>"0014777"</f>
        <v>0014777</v>
      </c>
      <c r="G1159">
        <v>1</v>
      </c>
      <c r="H1159" t="str">
        <f>"00000001"</f>
        <v>00000001</v>
      </c>
      <c r="I1159" t="s">
        <v>35</v>
      </c>
      <c r="J1159"/>
      <c r="K1159">
        <v>2.54</v>
      </c>
      <c r="L1159">
        <v>0.0</v>
      </c>
      <c r="M1159"/>
      <c r="N1159"/>
      <c r="O1159">
        <v>0.46</v>
      </c>
      <c r="P1159">
        <v>0.0</v>
      </c>
      <c r="Q1159">
        <v>3.0</v>
      </c>
      <c r="R1159"/>
      <c r="S1159"/>
      <c r="T1159"/>
      <c r="U1159"/>
      <c r="V1159"/>
      <c r="W1159">
        <v>18</v>
      </c>
    </row>
    <row r="1160" spans="1:23">
      <c r="A1160"/>
      <c r="B1160" t="s">
        <v>122</v>
      </c>
      <c r="C1160" t="s">
        <v>122</v>
      </c>
      <c r="D1160" t="s">
        <v>33</v>
      </c>
      <c r="E1160" t="s">
        <v>34</v>
      </c>
      <c r="F1160" t="str">
        <f>"0014778"</f>
        <v>0014778</v>
      </c>
      <c r="G1160">
        <v>1</v>
      </c>
      <c r="H1160" t="str">
        <f>"00000001"</f>
        <v>00000001</v>
      </c>
      <c r="I1160" t="s">
        <v>35</v>
      </c>
      <c r="J1160"/>
      <c r="K1160">
        <v>15.25</v>
      </c>
      <c r="L1160">
        <v>0.0</v>
      </c>
      <c r="M1160"/>
      <c r="N1160"/>
      <c r="O1160">
        <v>2.75</v>
      </c>
      <c r="P1160">
        <v>0.0</v>
      </c>
      <c r="Q1160">
        <v>18.0</v>
      </c>
      <c r="R1160"/>
      <c r="S1160"/>
      <c r="T1160"/>
      <c r="U1160"/>
      <c r="V1160"/>
      <c r="W1160">
        <v>18</v>
      </c>
    </row>
    <row r="1161" spans="1:23">
      <c r="A1161"/>
      <c r="B1161" t="s">
        <v>122</v>
      </c>
      <c r="C1161" t="s">
        <v>122</v>
      </c>
      <c r="D1161" t="s">
        <v>33</v>
      </c>
      <c r="E1161" t="s">
        <v>34</v>
      </c>
      <c r="F1161" t="str">
        <f>"0014779"</f>
        <v>0014779</v>
      </c>
      <c r="G1161">
        <v>1</v>
      </c>
      <c r="H1161" t="str">
        <f>"00000001"</f>
        <v>00000001</v>
      </c>
      <c r="I1161" t="s">
        <v>35</v>
      </c>
      <c r="J1161"/>
      <c r="K1161">
        <v>10.17</v>
      </c>
      <c r="L1161">
        <v>0.0</v>
      </c>
      <c r="M1161"/>
      <c r="N1161"/>
      <c r="O1161">
        <v>1.83</v>
      </c>
      <c r="P1161">
        <v>0.0</v>
      </c>
      <c r="Q1161">
        <v>12.0</v>
      </c>
      <c r="R1161"/>
      <c r="S1161"/>
      <c r="T1161"/>
      <c r="U1161"/>
      <c r="V1161"/>
      <c r="W1161">
        <v>18</v>
      </c>
    </row>
    <row r="1162" spans="1:23">
      <c r="A1162"/>
      <c r="B1162" t="s">
        <v>122</v>
      </c>
      <c r="C1162" t="s">
        <v>122</v>
      </c>
      <c r="D1162" t="s">
        <v>33</v>
      </c>
      <c r="E1162" t="s">
        <v>34</v>
      </c>
      <c r="F1162" t="str">
        <f>"0014780"</f>
        <v>0014780</v>
      </c>
      <c r="G1162">
        <v>1</v>
      </c>
      <c r="H1162" t="str">
        <f>"00000001"</f>
        <v>00000001</v>
      </c>
      <c r="I1162" t="s">
        <v>35</v>
      </c>
      <c r="J1162"/>
      <c r="K1162">
        <v>16.95</v>
      </c>
      <c r="L1162">
        <v>0.0</v>
      </c>
      <c r="M1162"/>
      <c r="N1162"/>
      <c r="O1162">
        <v>3.05</v>
      </c>
      <c r="P1162">
        <v>0.0</v>
      </c>
      <c r="Q1162">
        <v>20.0</v>
      </c>
      <c r="R1162"/>
      <c r="S1162"/>
      <c r="T1162"/>
      <c r="U1162"/>
      <c r="V1162"/>
      <c r="W1162">
        <v>18</v>
      </c>
    </row>
    <row r="1163" spans="1:23">
      <c r="A1163"/>
      <c r="B1163" t="s">
        <v>122</v>
      </c>
      <c r="C1163" t="s">
        <v>122</v>
      </c>
      <c r="D1163" t="s">
        <v>33</v>
      </c>
      <c r="E1163" t="s">
        <v>34</v>
      </c>
      <c r="F1163" t="str">
        <f>"0014781"</f>
        <v>0014781</v>
      </c>
      <c r="G1163">
        <v>1</v>
      </c>
      <c r="H1163" t="str">
        <f>"00000001"</f>
        <v>00000001</v>
      </c>
      <c r="I1163" t="s">
        <v>35</v>
      </c>
      <c r="J1163"/>
      <c r="K1163">
        <v>17.8</v>
      </c>
      <c r="L1163">
        <v>0.0</v>
      </c>
      <c r="M1163"/>
      <c r="N1163"/>
      <c r="O1163">
        <v>3.2</v>
      </c>
      <c r="P1163">
        <v>0.0</v>
      </c>
      <c r="Q1163">
        <v>21.0</v>
      </c>
      <c r="R1163"/>
      <c r="S1163"/>
      <c r="T1163"/>
      <c r="U1163"/>
      <c r="V1163"/>
      <c r="W1163">
        <v>18</v>
      </c>
    </row>
    <row r="1164" spans="1:23">
      <c r="A1164"/>
      <c r="B1164" t="s">
        <v>130</v>
      </c>
      <c r="C1164" t="s">
        <v>130</v>
      </c>
      <c r="D1164" t="s">
        <v>33</v>
      </c>
      <c r="E1164" t="s">
        <v>34</v>
      </c>
      <c r="F1164" t="str">
        <f>"0014782"</f>
        <v>0014782</v>
      </c>
      <c r="G1164">
        <v>1</v>
      </c>
      <c r="H1164" t="str">
        <f>"00000001"</f>
        <v>00000001</v>
      </c>
      <c r="I1164" t="s">
        <v>35</v>
      </c>
      <c r="J1164"/>
      <c r="K1164">
        <v>5.08</v>
      </c>
      <c r="L1164">
        <v>0.0</v>
      </c>
      <c r="M1164"/>
      <c r="N1164"/>
      <c r="O1164">
        <v>0.92</v>
      </c>
      <c r="P1164">
        <v>0.0</v>
      </c>
      <c r="Q1164">
        <v>6.0</v>
      </c>
      <c r="R1164"/>
      <c r="S1164"/>
      <c r="T1164"/>
      <c r="U1164"/>
      <c r="V1164"/>
      <c r="W1164">
        <v>18</v>
      </c>
    </row>
    <row r="1165" spans="1:23">
      <c r="A1165"/>
      <c r="B1165" t="s">
        <v>130</v>
      </c>
      <c r="C1165" t="s">
        <v>130</v>
      </c>
      <c r="D1165" t="s">
        <v>33</v>
      </c>
      <c r="E1165" t="s">
        <v>34</v>
      </c>
      <c r="F1165" t="str">
        <f>"0014783"</f>
        <v>0014783</v>
      </c>
      <c r="G1165">
        <v>1</v>
      </c>
      <c r="H1165" t="str">
        <f>"00000001"</f>
        <v>00000001</v>
      </c>
      <c r="I1165" t="s">
        <v>35</v>
      </c>
      <c r="J1165"/>
      <c r="K1165">
        <v>5.08</v>
      </c>
      <c r="L1165">
        <v>0.0</v>
      </c>
      <c r="M1165"/>
      <c r="N1165"/>
      <c r="O1165">
        <v>0.92</v>
      </c>
      <c r="P1165">
        <v>0.0</v>
      </c>
      <c r="Q1165">
        <v>6.0</v>
      </c>
      <c r="R1165"/>
      <c r="S1165"/>
      <c r="T1165"/>
      <c r="U1165"/>
      <c r="V1165"/>
      <c r="W1165">
        <v>18</v>
      </c>
    </row>
    <row r="1166" spans="1:23">
      <c r="A1166"/>
      <c r="B1166" t="s">
        <v>130</v>
      </c>
      <c r="C1166" t="s">
        <v>130</v>
      </c>
      <c r="D1166" t="s">
        <v>33</v>
      </c>
      <c r="E1166" t="s">
        <v>34</v>
      </c>
      <c r="F1166" t="str">
        <f>"0014784"</f>
        <v>0014784</v>
      </c>
      <c r="G1166">
        <v>1</v>
      </c>
      <c r="H1166" t="str">
        <f>"00000001"</f>
        <v>00000001</v>
      </c>
      <c r="I1166" t="s">
        <v>35</v>
      </c>
      <c r="J1166"/>
      <c r="K1166">
        <v>8.47</v>
      </c>
      <c r="L1166">
        <v>0.0</v>
      </c>
      <c r="M1166"/>
      <c r="N1166"/>
      <c r="O1166">
        <v>1.53</v>
      </c>
      <c r="P1166">
        <v>0.0</v>
      </c>
      <c r="Q1166">
        <v>10.0</v>
      </c>
      <c r="R1166"/>
      <c r="S1166"/>
      <c r="T1166"/>
      <c r="U1166"/>
      <c r="V1166"/>
      <c r="W1166">
        <v>18</v>
      </c>
    </row>
    <row r="1167" spans="1:23">
      <c r="A1167"/>
      <c r="B1167" t="s">
        <v>130</v>
      </c>
      <c r="C1167" t="s">
        <v>130</v>
      </c>
      <c r="D1167" t="s">
        <v>33</v>
      </c>
      <c r="E1167" t="s">
        <v>34</v>
      </c>
      <c r="F1167" t="str">
        <f>"0014785"</f>
        <v>0014785</v>
      </c>
      <c r="G1167">
        <v>1</v>
      </c>
      <c r="H1167" t="str">
        <f>"00000001"</f>
        <v>00000001</v>
      </c>
      <c r="I1167" t="s">
        <v>35</v>
      </c>
      <c r="J1167"/>
      <c r="K1167">
        <v>1.27</v>
      </c>
      <c r="L1167">
        <v>0.0</v>
      </c>
      <c r="M1167"/>
      <c r="N1167"/>
      <c r="O1167">
        <v>0.23</v>
      </c>
      <c r="P1167">
        <v>0.0</v>
      </c>
      <c r="Q1167">
        <v>1.5</v>
      </c>
      <c r="R1167"/>
      <c r="S1167"/>
      <c r="T1167"/>
      <c r="U1167"/>
      <c r="V1167"/>
      <c r="W1167">
        <v>18</v>
      </c>
    </row>
    <row r="1168" spans="1:23">
      <c r="A1168"/>
      <c r="B1168" t="s">
        <v>130</v>
      </c>
      <c r="C1168" t="s">
        <v>130</v>
      </c>
      <c r="D1168" t="s">
        <v>33</v>
      </c>
      <c r="E1168" t="s">
        <v>34</v>
      </c>
      <c r="F1168" t="str">
        <f>"0014786"</f>
        <v>0014786</v>
      </c>
      <c r="G1168">
        <v>1</v>
      </c>
      <c r="H1168" t="str">
        <f>"00000001"</f>
        <v>00000001</v>
      </c>
      <c r="I1168" t="s">
        <v>35</v>
      </c>
      <c r="J1168"/>
      <c r="K1168">
        <v>33.47</v>
      </c>
      <c r="L1168">
        <v>0.0</v>
      </c>
      <c r="M1168"/>
      <c r="N1168"/>
      <c r="O1168">
        <v>6.03</v>
      </c>
      <c r="P1168">
        <v>0.0</v>
      </c>
      <c r="Q1168">
        <v>39.5</v>
      </c>
      <c r="R1168"/>
      <c r="S1168"/>
      <c r="T1168"/>
      <c r="U1168"/>
      <c r="V1168"/>
      <c r="W1168">
        <v>18</v>
      </c>
    </row>
    <row r="1169" spans="1:23">
      <c r="A1169"/>
      <c r="B1169" t="s">
        <v>130</v>
      </c>
      <c r="C1169" t="s">
        <v>130</v>
      </c>
      <c r="D1169" t="s">
        <v>33</v>
      </c>
      <c r="E1169" t="s">
        <v>34</v>
      </c>
      <c r="F1169" t="str">
        <f>"0014787"</f>
        <v>0014787</v>
      </c>
      <c r="G1169">
        <v>1</v>
      </c>
      <c r="H1169" t="str">
        <f>"00000001"</f>
        <v>00000001</v>
      </c>
      <c r="I1169" t="s">
        <v>35</v>
      </c>
      <c r="J1169"/>
      <c r="K1169">
        <v>16.95</v>
      </c>
      <c r="L1169">
        <v>0.0</v>
      </c>
      <c r="M1169"/>
      <c r="N1169"/>
      <c r="O1169">
        <v>3.05</v>
      </c>
      <c r="P1169">
        <v>0.0</v>
      </c>
      <c r="Q1169">
        <v>20.0</v>
      </c>
      <c r="R1169"/>
      <c r="S1169"/>
      <c r="T1169"/>
      <c r="U1169"/>
      <c r="V1169"/>
      <c r="W1169">
        <v>18</v>
      </c>
    </row>
    <row r="1170" spans="1:23">
      <c r="A1170"/>
      <c r="B1170" t="s">
        <v>130</v>
      </c>
      <c r="C1170" t="s">
        <v>130</v>
      </c>
      <c r="D1170" t="s">
        <v>33</v>
      </c>
      <c r="E1170" t="s">
        <v>34</v>
      </c>
      <c r="F1170" t="str">
        <f>"0014788"</f>
        <v>0014788</v>
      </c>
      <c r="G1170">
        <v>1</v>
      </c>
      <c r="H1170" t="str">
        <f>"00000001"</f>
        <v>00000001</v>
      </c>
      <c r="I1170" t="s">
        <v>35</v>
      </c>
      <c r="J1170"/>
      <c r="K1170">
        <v>11.44</v>
      </c>
      <c r="L1170">
        <v>0.0</v>
      </c>
      <c r="M1170"/>
      <c r="N1170"/>
      <c r="O1170">
        <v>2.06</v>
      </c>
      <c r="P1170">
        <v>0.0</v>
      </c>
      <c r="Q1170">
        <v>13.5</v>
      </c>
      <c r="R1170"/>
      <c r="S1170"/>
      <c r="T1170"/>
      <c r="U1170"/>
      <c r="V1170"/>
      <c r="W1170">
        <v>18</v>
      </c>
    </row>
    <row r="1171" spans="1:23">
      <c r="A1171"/>
      <c r="B1171" t="s">
        <v>130</v>
      </c>
      <c r="C1171" t="s">
        <v>130</v>
      </c>
      <c r="D1171" t="s">
        <v>33</v>
      </c>
      <c r="E1171" t="s">
        <v>34</v>
      </c>
      <c r="F1171" t="str">
        <f>"0014789"</f>
        <v>0014789</v>
      </c>
      <c r="G1171">
        <v>1</v>
      </c>
      <c r="H1171" t="str">
        <f>"00000001"</f>
        <v>00000001</v>
      </c>
      <c r="I1171" t="s">
        <v>35</v>
      </c>
      <c r="J1171"/>
      <c r="K1171">
        <v>2.54</v>
      </c>
      <c r="L1171">
        <v>0.0</v>
      </c>
      <c r="M1171"/>
      <c r="N1171"/>
      <c r="O1171">
        <v>0.46</v>
      </c>
      <c r="P1171">
        <v>0.0</v>
      </c>
      <c r="Q1171">
        <v>3.0</v>
      </c>
      <c r="R1171"/>
      <c r="S1171"/>
      <c r="T1171"/>
      <c r="U1171"/>
      <c r="V1171"/>
      <c r="W1171">
        <v>18</v>
      </c>
    </row>
    <row r="1172" spans="1:23">
      <c r="A1172"/>
      <c r="B1172" t="s">
        <v>130</v>
      </c>
      <c r="C1172" t="s">
        <v>130</v>
      </c>
      <c r="D1172" t="s">
        <v>33</v>
      </c>
      <c r="E1172" t="s">
        <v>34</v>
      </c>
      <c r="F1172" t="str">
        <f>"0014790"</f>
        <v>0014790</v>
      </c>
      <c r="G1172">
        <v>1</v>
      </c>
      <c r="H1172" t="str">
        <f>"00000001"</f>
        <v>00000001</v>
      </c>
      <c r="I1172" t="s">
        <v>35</v>
      </c>
      <c r="J1172"/>
      <c r="K1172">
        <v>2.54</v>
      </c>
      <c r="L1172">
        <v>0.0</v>
      </c>
      <c r="M1172"/>
      <c r="N1172"/>
      <c r="O1172">
        <v>0.46</v>
      </c>
      <c r="P1172">
        <v>0.0</v>
      </c>
      <c r="Q1172">
        <v>3.0</v>
      </c>
      <c r="R1172"/>
      <c r="S1172"/>
      <c r="T1172"/>
      <c r="U1172"/>
      <c r="V1172"/>
      <c r="W1172">
        <v>18</v>
      </c>
    </row>
    <row r="1173" spans="1:23">
      <c r="A1173"/>
      <c r="B1173" t="s">
        <v>130</v>
      </c>
      <c r="C1173" t="s">
        <v>130</v>
      </c>
      <c r="D1173" t="s">
        <v>33</v>
      </c>
      <c r="E1173" t="s">
        <v>34</v>
      </c>
      <c r="F1173" t="str">
        <f>"0014791"</f>
        <v>0014791</v>
      </c>
      <c r="G1173">
        <v>1</v>
      </c>
      <c r="H1173" t="str">
        <f>"00000001"</f>
        <v>00000001</v>
      </c>
      <c r="I1173" t="s">
        <v>35</v>
      </c>
      <c r="J1173"/>
      <c r="K1173">
        <v>5.08</v>
      </c>
      <c r="L1173">
        <v>0.0</v>
      </c>
      <c r="M1173"/>
      <c r="N1173"/>
      <c r="O1173">
        <v>0.92</v>
      </c>
      <c r="P1173">
        <v>0.0</v>
      </c>
      <c r="Q1173">
        <v>6.0</v>
      </c>
      <c r="R1173"/>
      <c r="S1173"/>
      <c r="T1173"/>
      <c r="U1173"/>
      <c r="V1173"/>
      <c r="W1173">
        <v>18</v>
      </c>
    </row>
    <row r="1174" spans="1:23">
      <c r="A1174"/>
      <c r="B1174" t="s">
        <v>130</v>
      </c>
      <c r="C1174" t="s">
        <v>130</v>
      </c>
      <c r="D1174" t="s">
        <v>33</v>
      </c>
      <c r="E1174" t="s">
        <v>34</v>
      </c>
      <c r="F1174" t="str">
        <f>"0014792"</f>
        <v>0014792</v>
      </c>
      <c r="G1174">
        <v>1</v>
      </c>
      <c r="H1174" t="str">
        <f>"00000001"</f>
        <v>00000001</v>
      </c>
      <c r="I1174" t="s">
        <v>35</v>
      </c>
      <c r="J1174"/>
      <c r="K1174">
        <v>12.71</v>
      </c>
      <c r="L1174">
        <v>0.0</v>
      </c>
      <c r="M1174"/>
      <c r="N1174"/>
      <c r="O1174">
        <v>2.29</v>
      </c>
      <c r="P1174">
        <v>0.0</v>
      </c>
      <c r="Q1174">
        <v>15.0</v>
      </c>
      <c r="R1174"/>
      <c r="S1174"/>
      <c r="T1174"/>
      <c r="U1174"/>
      <c r="V1174"/>
      <c r="W1174">
        <v>18</v>
      </c>
    </row>
    <row r="1175" spans="1:23">
      <c r="A1175"/>
      <c r="B1175" t="s">
        <v>130</v>
      </c>
      <c r="C1175" t="s">
        <v>130</v>
      </c>
      <c r="D1175" t="s">
        <v>33</v>
      </c>
      <c r="E1175" t="s">
        <v>34</v>
      </c>
      <c r="F1175" t="str">
        <f>"0014793"</f>
        <v>0014793</v>
      </c>
      <c r="G1175">
        <v>1</v>
      </c>
      <c r="H1175" t="str">
        <f>"00000001"</f>
        <v>00000001</v>
      </c>
      <c r="I1175" t="s">
        <v>35</v>
      </c>
      <c r="J1175"/>
      <c r="K1175">
        <v>2.54</v>
      </c>
      <c r="L1175">
        <v>0.0</v>
      </c>
      <c r="M1175"/>
      <c r="N1175"/>
      <c r="O1175">
        <v>0.46</v>
      </c>
      <c r="P1175">
        <v>0.0</v>
      </c>
      <c r="Q1175">
        <v>3.0</v>
      </c>
      <c r="R1175"/>
      <c r="S1175"/>
      <c r="T1175"/>
      <c r="U1175"/>
      <c r="V1175"/>
      <c r="W1175">
        <v>18</v>
      </c>
    </row>
    <row r="1176" spans="1:23">
      <c r="A1176"/>
      <c r="B1176" t="s">
        <v>130</v>
      </c>
      <c r="C1176" t="s">
        <v>130</v>
      </c>
      <c r="D1176" t="s">
        <v>33</v>
      </c>
      <c r="E1176" t="s">
        <v>34</v>
      </c>
      <c r="F1176" t="str">
        <f>"0014794"</f>
        <v>0014794</v>
      </c>
      <c r="G1176">
        <v>1</v>
      </c>
      <c r="H1176" t="str">
        <f>"45444094"</f>
        <v>45444094</v>
      </c>
      <c r="I1176" t="s">
        <v>131</v>
      </c>
      <c r="J1176"/>
      <c r="K1176">
        <v>19.49</v>
      </c>
      <c r="L1176">
        <v>0.0</v>
      </c>
      <c r="M1176"/>
      <c r="N1176"/>
      <c r="O1176">
        <v>3.51</v>
      </c>
      <c r="P1176">
        <v>0.0</v>
      </c>
      <c r="Q1176">
        <v>23.0</v>
      </c>
      <c r="R1176"/>
      <c r="S1176"/>
      <c r="T1176"/>
      <c r="U1176"/>
      <c r="V1176"/>
      <c r="W1176">
        <v>18</v>
      </c>
    </row>
    <row r="1177" spans="1:23">
      <c r="A1177"/>
      <c r="B1177" t="s">
        <v>130</v>
      </c>
      <c r="C1177" t="s">
        <v>130</v>
      </c>
      <c r="D1177" t="s">
        <v>33</v>
      </c>
      <c r="E1177" t="s">
        <v>34</v>
      </c>
      <c r="F1177" t="str">
        <f>"0014795"</f>
        <v>0014795</v>
      </c>
      <c r="G1177">
        <v>1</v>
      </c>
      <c r="H1177" t="str">
        <f>"00000001"</f>
        <v>00000001</v>
      </c>
      <c r="I1177" t="s">
        <v>35</v>
      </c>
      <c r="J1177"/>
      <c r="K1177">
        <v>50.85</v>
      </c>
      <c r="L1177">
        <v>0.0</v>
      </c>
      <c r="M1177"/>
      <c r="N1177"/>
      <c r="O1177">
        <v>9.15</v>
      </c>
      <c r="P1177">
        <v>0.0</v>
      </c>
      <c r="Q1177">
        <v>60.0</v>
      </c>
      <c r="R1177"/>
      <c r="S1177"/>
      <c r="T1177"/>
      <c r="U1177"/>
      <c r="V1177"/>
      <c r="W1177">
        <v>18</v>
      </c>
    </row>
    <row r="1178" spans="1:23">
      <c r="A1178"/>
      <c r="B1178" t="s">
        <v>130</v>
      </c>
      <c r="C1178" t="s">
        <v>130</v>
      </c>
      <c r="D1178" t="s">
        <v>33</v>
      </c>
      <c r="E1178" t="s">
        <v>34</v>
      </c>
      <c r="F1178" t="str">
        <f>"0014796"</f>
        <v>0014796</v>
      </c>
      <c r="G1178">
        <v>1</v>
      </c>
      <c r="H1178" t="str">
        <f>"00000001"</f>
        <v>00000001</v>
      </c>
      <c r="I1178" t="s">
        <v>35</v>
      </c>
      <c r="J1178"/>
      <c r="K1178">
        <v>3.81</v>
      </c>
      <c r="L1178">
        <v>0.0</v>
      </c>
      <c r="M1178"/>
      <c r="N1178"/>
      <c r="O1178">
        <v>0.69</v>
      </c>
      <c r="P1178">
        <v>0.0</v>
      </c>
      <c r="Q1178">
        <v>4.5</v>
      </c>
      <c r="R1178"/>
      <c r="S1178"/>
      <c r="T1178"/>
      <c r="U1178"/>
      <c r="V1178"/>
      <c r="W1178">
        <v>18</v>
      </c>
    </row>
    <row r="1179" spans="1:23">
      <c r="A1179"/>
      <c r="B1179" t="s">
        <v>130</v>
      </c>
      <c r="C1179" t="s">
        <v>130</v>
      </c>
      <c r="D1179" t="s">
        <v>33</v>
      </c>
      <c r="E1179" t="s">
        <v>34</v>
      </c>
      <c r="F1179" t="str">
        <f>"0014797"</f>
        <v>0014797</v>
      </c>
      <c r="G1179">
        <v>1</v>
      </c>
      <c r="H1179" t="str">
        <f>"00000001"</f>
        <v>00000001</v>
      </c>
      <c r="I1179" t="s">
        <v>35</v>
      </c>
      <c r="J1179"/>
      <c r="K1179">
        <v>6.78</v>
      </c>
      <c r="L1179">
        <v>0.0</v>
      </c>
      <c r="M1179"/>
      <c r="N1179"/>
      <c r="O1179">
        <v>1.22</v>
      </c>
      <c r="P1179">
        <v>0.0</v>
      </c>
      <c r="Q1179">
        <v>8.0</v>
      </c>
      <c r="R1179"/>
      <c r="S1179"/>
      <c r="T1179"/>
      <c r="U1179"/>
      <c r="V1179"/>
      <c r="W1179">
        <v>18</v>
      </c>
    </row>
    <row r="1180" spans="1:23">
      <c r="A1180"/>
      <c r="B1180" t="s">
        <v>130</v>
      </c>
      <c r="C1180" t="s">
        <v>130</v>
      </c>
      <c r="D1180" t="s">
        <v>33</v>
      </c>
      <c r="E1180" t="s">
        <v>34</v>
      </c>
      <c r="F1180" t="str">
        <f>"0014798"</f>
        <v>0014798</v>
      </c>
      <c r="G1180">
        <v>1</v>
      </c>
      <c r="H1180" t="str">
        <f>"00000001"</f>
        <v>00000001</v>
      </c>
      <c r="I1180" t="s">
        <v>35</v>
      </c>
      <c r="J1180"/>
      <c r="K1180">
        <v>16.95</v>
      </c>
      <c r="L1180">
        <v>0.0</v>
      </c>
      <c r="M1180"/>
      <c r="N1180"/>
      <c r="O1180">
        <v>3.05</v>
      </c>
      <c r="P1180">
        <v>0.0</v>
      </c>
      <c r="Q1180">
        <v>20.0</v>
      </c>
      <c r="R1180"/>
      <c r="S1180"/>
      <c r="T1180"/>
      <c r="U1180"/>
      <c r="V1180"/>
      <c r="W1180">
        <v>18</v>
      </c>
    </row>
    <row r="1181" spans="1:23">
      <c r="A1181"/>
      <c r="B1181" t="s">
        <v>130</v>
      </c>
      <c r="C1181" t="s">
        <v>130</v>
      </c>
      <c r="D1181" t="s">
        <v>33</v>
      </c>
      <c r="E1181" t="s">
        <v>34</v>
      </c>
      <c r="F1181" t="str">
        <f>"0014799"</f>
        <v>0014799</v>
      </c>
      <c r="G1181">
        <v>1</v>
      </c>
      <c r="H1181" t="str">
        <f>"00000001"</f>
        <v>00000001</v>
      </c>
      <c r="I1181" t="s">
        <v>35</v>
      </c>
      <c r="J1181"/>
      <c r="K1181">
        <v>3.39</v>
      </c>
      <c r="L1181">
        <v>0.0</v>
      </c>
      <c r="M1181"/>
      <c r="N1181"/>
      <c r="O1181">
        <v>0.61</v>
      </c>
      <c r="P1181">
        <v>0.0</v>
      </c>
      <c r="Q1181">
        <v>4.0</v>
      </c>
      <c r="R1181"/>
      <c r="S1181"/>
      <c r="T1181"/>
      <c r="U1181"/>
      <c r="V1181"/>
      <c r="W1181">
        <v>18</v>
      </c>
    </row>
    <row r="1182" spans="1:23">
      <c r="A1182"/>
      <c r="B1182" t="s">
        <v>130</v>
      </c>
      <c r="C1182" t="s">
        <v>130</v>
      </c>
      <c r="D1182" t="s">
        <v>33</v>
      </c>
      <c r="E1182" t="s">
        <v>34</v>
      </c>
      <c r="F1182" t="str">
        <f>"0014800"</f>
        <v>0014800</v>
      </c>
      <c r="G1182">
        <v>1</v>
      </c>
      <c r="H1182" t="str">
        <f>"00000001"</f>
        <v>00000001</v>
      </c>
      <c r="I1182" t="s">
        <v>35</v>
      </c>
      <c r="J1182"/>
      <c r="K1182">
        <v>4.66</v>
      </c>
      <c r="L1182">
        <v>0.0</v>
      </c>
      <c r="M1182"/>
      <c r="N1182"/>
      <c r="O1182">
        <v>0.84</v>
      </c>
      <c r="P1182">
        <v>0.0</v>
      </c>
      <c r="Q1182">
        <v>5.5</v>
      </c>
      <c r="R1182"/>
      <c r="S1182"/>
      <c r="T1182"/>
      <c r="U1182"/>
      <c r="V1182"/>
      <c r="W1182">
        <v>18</v>
      </c>
    </row>
    <row r="1183" spans="1:23">
      <c r="A1183"/>
      <c r="B1183" t="s">
        <v>130</v>
      </c>
      <c r="C1183" t="s">
        <v>130</v>
      </c>
      <c r="D1183" t="s">
        <v>33</v>
      </c>
      <c r="E1183" t="s">
        <v>34</v>
      </c>
      <c r="F1183" t="str">
        <f>"0014801"</f>
        <v>0014801</v>
      </c>
      <c r="G1183">
        <v>1</v>
      </c>
      <c r="H1183" t="str">
        <f>"00000001"</f>
        <v>00000001</v>
      </c>
      <c r="I1183" t="s">
        <v>35</v>
      </c>
      <c r="J1183"/>
      <c r="K1183">
        <v>0.85</v>
      </c>
      <c r="L1183">
        <v>0.0</v>
      </c>
      <c r="M1183"/>
      <c r="N1183"/>
      <c r="O1183">
        <v>0.15</v>
      </c>
      <c r="P1183">
        <v>0.0</v>
      </c>
      <c r="Q1183">
        <v>1.0</v>
      </c>
      <c r="R1183"/>
      <c r="S1183"/>
      <c r="T1183"/>
      <c r="U1183"/>
      <c r="V1183"/>
      <c r="W1183">
        <v>18</v>
      </c>
    </row>
    <row r="1184" spans="1:23">
      <c r="A1184"/>
      <c r="B1184" t="s">
        <v>130</v>
      </c>
      <c r="C1184" t="s">
        <v>130</v>
      </c>
      <c r="D1184" t="s">
        <v>33</v>
      </c>
      <c r="E1184" t="s">
        <v>34</v>
      </c>
      <c r="F1184" t="str">
        <f>"0014802"</f>
        <v>0014802</v>
      </c>
      <c r="G1184">
        <v>1</v>
      </c>
      <c r="H1184" t="str">
        <f>"00000001"</f>
        <v>00000001</v>
      </c>
      <c r="I1184" t="s">
        <v>35</v>
      </c>
      <c r="J1184"/>
      <c r="K1184">
        <v>11.02</v>
      </c>
      <c r="L1184">
        <v>0.0</v>
      </c>
      <c r="M1184"/>
      <c r="N1184"/>
      <c r="O1184">
        <v>1.98</v>
      </c>
      <c r="P1184">
        <v>0.0</v>
      </c>
      <c r="Q1184">
        <v>13.0</v>
      </c>
      <c r="R1184"/>
      <c r="S1184"/>
      <c r="T1184"/>
      <c r="U1184"/>
      <c r="V1184"/>
      <c r="W1184">
        <v>18</v>
      </c>
    </row>
    <row r="1185" spans="1:23">
      <c r="A1185"/>
      <c r="B1185" t="s">
        <v>130</v>
      </c>
      <c r="C1185" t="s">
        <v>130</v>
      </c>
      <c r="D1185" t="s">
        <v>33</v>
      </c>
      <c r="E1185" t="s">
        <v>34</v>
      </c>
      <c r="F1185" t="str">
        <f>"0014803"</f>
        <v>0014803</v>
      </c>
      <c r="G1185">
        <v>1</v>
      </c>
      <c r="H1185" t="str">
        <f>"00000001"</f>
        <v>00000001</v>
      </c>
      <c r="I1185" t="s">
        <v>35</v>
      </c>
      <c r="J1185"/>
      <c r="K1185">
        <v>10.17</v>
      </c>
      <c r="L1185">
        <v>0.0</v>
      </c>
      <c r="M1185"/>
      <c r="N1185"/>
      <c r="O1185">
        <v>1.83</v>
      </c>
      <c r="P1185">
        <v>0.0</v>
      </c>
      <c r="Q1185">
        <v>12.0</v>
      </c>
      <c r="R1185"/>
      <c r="S1185"/>
      <c r="T1185"/>
      <c r="U1185"/>
      <c r="V1185"/>
      <c r="W1185">
        <v>18</v>
      </c>
    </row>
    <row r="1186" spans="1:23">
      <c r="A1186"/>
      <c r="B1186" t="s">
        <v>130</v>
      </c>
      <c r="C1186" t="s">
        <v>130</v>
      </c>
      <c r="D1186" t="s">
        <v>33</v>
      </c>
      <c r="E1186" t="s">
        <v>34</v>
      </c>
      <c r="F1186" t="str">
        <f>"0014804"</f>
        <v>0014804</v>
      </c>
      <c r="G1186">
        <v>1</v>
      </c>
      <c r="H1186" t="str">
        <f>"00000001"</f>
        <v>00000001</v>
      </c>
      <c r="I1186" t="s">
        <v>35</v>
      </c>
      <c r="J1186"/>
      <c r="K1186">
        <v>8.47</v>
      </c>
      <c r="L1186">
        <v>0.0</v>
      </c>
      <c r="M1186"/>
      <c r="N1186"/>
      <c r="O1186">
        <v>1.53</v>
      </c>
      <c r="P1186">
        <v>0.0</v>
      </c>
      <c r="Q1186">
        <v>10.0</v>
      </c>
      <c r="R1186"/>
      <c r="S1186"/>
      <c r="T1186"/>
      <c r="U1186"/>
      <c r="V1186"/>
      <c r="W1186">
        <v>18</v>
      </c>
    </row>
    <row r="1187" spans="1:23">
      <c r="A1187"/>
      <c r="B1187" t="s">
        <v>130</v>
      </c>
      <c r="C1187" t="s">
        <v>130</v>
      </c>
      <c r="D1187" t="s">
        <v>33</v>
      </c>
      <c r="E1187" t="s">
        <v>34</v>
      </c>
      <c r="F1187" t="str">
        <f>"0014805"</f>
        <v>0014805</v>
      </c>
      <c r="G1187">
        <v>1</v>
      </c>
      <c r="H1187" t="str">
        <f>"00000001"</f>
        <v>00000001</v>
      </c>
      <c r="I1187" t="s">
        <v>35</v>
      </c>
      <c r="J1187"/>
      <c r="K1187">
        <v>10.17</v>
      </c>
      <c r="L1187">
        <v>0.0</v>
      </c>
      <c r="M1187"/>
      <c r="N1187"/>
      <c r="O1187">
        <v>1.83</v>
      </c>
      <c r="P1187">
        <v>0.0</v>
      </c>
      <c r="Q1187">
        <v>12.0</v>
      </c>
      <c r="R1187"/>
      <c r="S1187"/>
      <c r="T1187"/>
      <c r="U1187"/>
      <c r="V1187"/>
      <c r="W1187">
        <v>18</v>
      </c>
    </row>
    <row r="1188" spans="1:23">
      <c r="A1188"/>
      <c r="B1188" t="s">
        <v>130</v>
      </c>
      <c r="C1188" t="s">
        <v>130</v>
      </c>
      <c r="D1188" t="s">
        <v>33</v>
      </c>
      <c r="E1188" t="s">
        <v>34</v>
      </c>
      <c r="F1188" t="str">
        <f>"0014806"</f>
        <v>0014806</v>
      </c>
      <c r="G1188">
        <v>1</v>
      </c>
      <c r="H1188" t="str">
        <f>"00000001"</f>
        <v>00000001</v>
      </c>
      <c r="I1188" t="s">
        <v>35</v>
      </c>
      <c r="J1188"/>
      <c r="K1188">
        <v>5.08</v>
      </c>
      <c r="L1188">
        <v>0.0</v>
      </c>
      <c r="M1188"/>
      <c r="N1188"/>
      <c r="O1188">
        <v>0.92</v>
      </c>
      <c r="P1188">
        <v>0.0</v>
      </c>
      <c r="Q1188">
        <v>6.0</v>
      </c>
      <c r="R1188"/>
      <c r="S1188"/>
      <c r="T1188"/>
      <c r="U1188"/>
      <c r="V1188"/>
      <c r="W1188">
        <v>18</v>
      </c>
    </row>
    <row r="1189" spans="1:23">
      <c r="A1189"/>
      <c r="B1189" t="s">
        <v>130</v>
      </c>
      <c r="C1189" t="s">
        <v>130</v>
      </c>
      <c r="D1189" t="s">
        <v>33</v>
      </c>
      <c r="E1189" t="s">
        <v>34</v>
      </c>
      <c r="F1189" t="str">
        <f>"0014807"</f>
        <v>0014807</v>
      </c>
      <c r="G1189">
        <v>1</v>
      </c>
      <c r="H1189" t="str">
        <f>"00000001"</f>
        <v>00000001</v>
      </c>
      <c r="I1189" t="s">
        <v>35</v>
      </c>
      <c r="J1189"/>
      <c r="K1189">
        <v>7.63</v>
      </c>
      <c r="L1189">
        <v>0.0</v>
      </c>
      <c r="M1189"/>
      <c r="N1189"/>
      <c r="O1189">
        <v>1.37</v>
      </c>
      <c r="P1189">
        <v>0.0</v>
      </c>
      <c r="Q1189">
        <v>9.0</v>
      </c>
      <c r="R1189"/>
      <c r="S1189"/>
      <c r="T1189"/>
      <c r="U1189"/>
      <c r="V1189"/>
      <c r="W1189">
        <v>18</v>
      </c>
    </row>
    <row r="1190" spans="1:23">
      <c r="A1190"/>
      <c r="B1190" t="s">
        <v>130</v>
      </c>
      <c r="C1190" t="s">
        <v>130</v>
      </c>
      <c r="D1190" t="s">
        <v>33</v>
      </c>
      <c r="E1190" t="s">
        <v>34</v>
      </c>
      <c r="F1190" t="str">
        <f>"0014808"</f>
        <v>0014808</v>
      </c>
      <c r="G1190">
        <v>1</v>
      </c>
      <c r="H1190" t="str">
        <f>"00000001"</f>
        <v>00000001</v>
      </c>
      <c r="I1190" t="s">
        <v>35</v>
      </c>
      <c r="J1190"/>
      <c r="K1190">
        <v>8.47</v>
      </c>
      <c r="L1190">
        <v>0.0</v>
      </c>
      <c r="M1190"/>
      <c r="N1190"/>
      <c r="O1190">
        <v>1.53</v>
      </c>
      <c r="P1190">
        <v>0.0</v>
      </c>
      <c r="Q1190">
        <v>10.0</v>
      </c>
      <c r="R1190"/>
      <c r="S1190"/>
      <c r="T1190"/>
      <c r="U1190"/>
      <c r="V1190"/>
      <c r="W1190">
        <v>18</v>
      </c>
    </row>
    <row r="1191" spans="1:23">
      <c r="A1191"/>
      <c r="B1191" t="s">
        <v>130</v>
      </c>
      <c r="C1191" t="s">
        <v>130</v>
      </c>
      <c r="D1191" t="s">
        <v>33</v>
      </c>
      <c r="E1191" t="s">
        <v>34</v>
      </c>
      <c r="F1191" t="str">
        <f>"0014809"</f>
        <v>0014809</v>
      </c>
      <c r="G1191">
        <v>1</v>
      </c>
      <c r="H1191" t="str">
        <f>"00000001"</f>
        <v>00000001</v>
      </c>
      <c r="I1191" t="s">
        <v>35</v>
      </c>
      <c r="J1191"/>
      <c r="K1191">
        <v>21.19</v>
      </c>
      <c r="L1191">
        <v>0.0</v>
      </c>
      <c r="M1191"/>
      <c r="N1191"/>
      <c r="O1191">
        <v>3.81</v>
      </c>
      <c r="P1191">
        <v>0.0</v>
      </c>
      <c r="Q1191">
        <v>25.0</v>
      </c>
      <c r="R1191"/>
      <c r="S1191"/>
      <c r="T1191"/>
      <c r="U1191"/>
      <c r="V1191"/>
      <c r="W1191">
        <v>18</v>
      </c>
    </row>
    <row r="1192" spans="1:23">
      <c r="A1192"/>
      <c r="B1192" t="s">
        <v>130</v>
      </c>
      <c r="C1192" t="s">
        <v>130</v>
      </c>
      <c r="D1192" t="s">
        <v>33</v>
      </c>
      <c r="E1192" t="s">
        <v>34</v>
      </c>
      <c r="F1192" t="str">
        <f>"0014810"</f>
        <v>0014810</v>
      </c>
      <c r="G1192">
        <v>1</v>
      </c>
      <c r="H1192" t="str">
        <f>"00000001"</f>
        <v>00000001</v>
      </c>
      <c r="I1192" t="s">
        <v>35</v>
      </c>
      <c r="J1192"/>
      <c r="K1192">
        <v>35.59</v>
      </c>
      <c r="L1192">
        <v>0.0</v>
      </c>
      <c r="M1192"/>
      <c r="N1192"/>
      <c r="O1192">
        <v>6.41</v>
      </c>
      <c r="P1192">
        <v>0.0</v>
      </c>
      <c r="Q1192">
        <v>42.0</v>
      </c>
      <c r="R1192"/>
      <c r="S1192"/>
      <c r="T1192"/>
      <c r="U1192"/>
      <c r="V1192"/>
      <c r="W1192">
        <v>18</v>
      </c>
    </row>
    <row r="1193" spans="1:23">
      <c r="A1193"/>
      <c r="B1193" t="s">
        <v>130</v>
      </c>
      <c r="C1193" t="s">
        <v>130</v>
      </c>
      <c r="D1193" t="s">
        <v>33</v>
      </c>
      <c r="E1193" t="s">
        <v>34</v>
      </c>
      <c r="F1193" t="str">
        <f>"0014811"</f>
        <v>0014811</v>
      </c>
      <c r="G1193">
        <v>1</v>
      </c>
      <c r="H1193" t="str">
        <f>"00000001"</f>
        <v>00000001</v>
      </c>
      <c r="I1193" t="s">
        <v>35</v>
      </c>
      <c r="J1193"/>
      <c r="K1193">
        <v>38.14</v>
      </c>
      <c r="L1193">
        <v>0.0</v>
      </c>
      <c r="M1193"/>
      <c r="N1193"/>
      <c r="O1193">
        <v>6.86</v>
      </c>
      <c r="P1193">
        <v>0.0</v>
      </c>
      <c r="Q1193">
        <v>45.0</v>
      </c>
      <c r="R1193"/>
      <c r="S1193"/>
      <c r="T1193"/>
      <c r="U1193"/>
      <c r="V1193"/>
      <c r="W1193">
        <v>18</v>
      </c>
    </row>
    <row r="1194" spans="1:23">
      <c r="A1194"/>
      <c r="B1194" t="s">
        <v>130</v>
      </c>
      <c r="C1194" t="s">
        <v>130</v>
      </c>
      <c r="D1194" t="s">
        <v>33</v>
      </c>
      <c r="E1194" t="s">
        <v>34</v>
      </c>
      <c r="F1194" t="str">
        <f>"0014812"</f>
        <v>0014812</v>
      </c>
      <c r="G1194">
        <v>1</v>
      </c>
      <c r="H1194" t="str">
        <f>"00000001"</f>
        <v>00000001</v>
      </c>
      <c r="I1194" t="s">
        <v>35</v>
      </c>
      <c r="J1194"/>
      <c r="K1194">
        <v>5.08</v>
      </c>
      <c r="L1194">
        <v>0.0</v>
      </c>
      <c r="M1194"/>
      <c r="N1194"/>
      <c r="O1194">
        <v>0.92</v>
      </c>
      <c r="P1194">
        <v>0.0</v>
      </c>
      <c r="Q1194">
        <v>6.0</v>
      </c>
      <c r="R1194"/>
      <c r="S1194"/>
      <c r="T1194"/>
      <c r="U1194"/>
      <c r="V1194"/>
      <c r="W1194">
        <v>18</v>
      </c>
    </row>
    <row r="1195" spans="1:23">
      <c r="A1195"/>
      <c r="B1195" t="s">
        <v>130</v>
      </c>
      <c r="C1195" t="s">
        <v>130</v>
      </c>
      <c r="D1195" t="s">
        <v>33</v>
      </c>
      <c r="E1195" t="s">
        <v>34</v>
      </c>
      <c r="F1195" t="str">
        <f>"0014813"</f>
        <v>0014813</v>
      </c>
      <c r="G1195">
        <v>1</v>
      </c>
      <c r="H1195" t="str">
        <f>"00000001"</f>
        <v>00000001</v>
      </c>
      <c r="I1195" t="s">
        <v>35</v>
      </c>
      <c r="J1195"/>
      <c r="K1195">
        <v>18.22</v>
      </c>
      <c r="L1195">
        <v>0.0</v>
      </c>
      <c r="M1195"/>
      <c r="N1195"/>
      <c r="O1195">
        <v>3.28</v>
      </c>
      <c r="P1195">
        <v>0.0</v>
      </c>
      <c r="Q1195">
        <v>21.5</v>
      </c>
      <c r="R1195"/>
      <c r="S1195"/>
      <c r="T1195"/>
      <c r="U1195"/>
      <c r="V1195"/>
      <c r="W1195">
        <v>18</v>
      </c>
    </row>
    <row r="1196" spans="1:23">
      <c r="A1196"/>
      <c r="B1196" t="s">
        <v>130</v>
      </c>
      <c r="C1196" t="s">
        <v>130</v>
      </c>
      <c r="D1196" t="s">
        <v>33</v>
      </c>
      <c r="E1196" t="s">
        <v>34</v>
      </c>
      <c r="F1196" t="str">
        <f>"0014814"</f>
        <v>0014814</v>
      </c>
      <c r="G1196">
        <v>1</v>
      </c>
      <c r="H1196" t="str">
        <f>"00000001"</f>
        <v>00000001</v>
      </c>
      <c r="I1196" t="s">
        <v>35</v>
      </c>
      <c r="J1196"/>
      <c r="K1196">
        <v>6.78</v>
      </c>
      <c r="L1196">
        <v>0.0</v>
      </c>
      <c r="M1196"/>
      <c r="N1196"/>
      <c r="O1196">
        <v>1.22</v>
      </c>
      <c r="P1196">
        <v>0.0</v>
      </c>
      <c r="Q1196">
        <v>8.0</v>
      </c>
      <c r="R1196"/>
      <c r="S1196"/>
      <c r="T1196"/>
      <c r="U1196"/>
      <c r="V1196"/>
      <c r="W1196">
        <v>18</v>
      </c>
    </row>
    <row r="1197" spans="1:23">
      <c r="A1197"/>
      <c r="B1197" t="s">
        <v>130</v>
      </c>
      <c r="C1197" t="s">
        <v>130</v>
      </c>
      <c r="D1197" t="s">
        <v>33</v>
      </c>
      <c r="E1197" t="s">
        <v>34</v>
      </c>
      <c r="F1197" t="str">
        <f>"0014815"</f>
        <v>0014815</v>
      </c>
      <c r="G1197">
        <v>1</v>
      </c>
      <c r="H1197" t="str">
        <f>"00000001"</f>
        <v>00000001</v>
      </c>
      <c r="I1197" t="s">
        <v>35</v>
      </c>
      <c r="J1197"/>
      <c r="K1197">
        <v>4.24</v>
      </c>
      <c r="L1197">
        <v>0.0</v>
      </c>
      <c r="M1197"/>
      <c r="N1197"/>
      <c r="O1197">
        <v>0.76</v>
      </c>
      <c r="P1197">
        <v>0.0</v>
      </c>
      <c r="Q1197">
        <v>5.0</v>
      </c>
      <c r="R1197"/>
      <c r="S1197"/>
      <c r="T1197"/>
      <c r="U1197"/>
      <c r="V1197"/>
      <c r="W1197">
        <v>18</v>
      </c>
    </row>
    <row r="1198" spans="1:23">
      <c r="A1198"/>
      <c r="B1198" t="s">
        <v>130</v>
      </c>
      <c r="C1198" t="s">
        <v>130</v>
      </c>
      <c r="D1198" t="s">
        <v>33</v>
      </c>
      <c r="E1198" t="s">
        <v>34</v>
      </c>
      <c r="F1198" t="str">
        <f>"0014816"</f>
        <v>0014816</v>
      </c>
      <c r="G1198">
        <v>1</v>
      </c>
      <c r="H1198" t="str">
        <f>"00000001"</f>
        <v>00000001</v>
      </c>
      <c r="I1198" t="s">
        <v>35</v>
      </c>
      <c r="J1198"/>
      <c r="K1198">
        <v>13.14</v>
      </c>
      <c r="L1198">
        <v>0.0</v>
      </c>
      <c r="M1198"/>
      <c r="N1198"/>
      <c r="O1198">
        <v>2.36</v>
      </c>
      <c r="P1198">
        <v>0.0</v>
      </c>
      <c r="Q1198">
        <v>15.5</v>
      </c>
      <c r="R1198"/>
      <c r="S1198"/>
      <c r="T1198"/>
      <c r="U1198"/>
      <c r="V1198"/>
      <c r="W1198">
        <v>18</v>
      </c>
    </row>
    <row r="1199" spans="1:23">
      <c r="A1199"/>
      <c r="B1199" t="s">
        <v>130</v>
      </c>
      <c r="C1199" t="s">
        <v>130</v>
      </c>
      <c r="D1199" t="s">
        <v>33</v>
      </c>
      <c r="E1199" t="s">
        <v>34</v>
      </c>
      <c r="F1199" t="str">
        <f>"0014817"</f>
        <v>0014817</v>
      </c>
      <c r="G1199">
        <v>1</v>
      </c>
      <c r="H1199" t="str">
        <f>"00000001"</f>
        <v>00000001</v>
      </c>
      <c r="I1199" t="s">
        <v>35</v>
      </c>
      <c r="J1199"/>
      <c r="K1199">
        <v>10.17</v>
      </c>
      <c r="L1199">
        <v>0.0</v>
      </c>
      <c r="M1199"/>
      <c r="N1199"/>
      <c r="O1199">
        <v>1.83</v>
      </c>
      <c r="P1199">
        <v>0.0</v>
      </c>
      <c r="Q1199">
        <v>12.0</v>
      </c>
      <c r="R1199"/>
      <c r="S1199"/>
      <c r="T1199"/>
      <c r="U1199"/>
      <c r="V1199"/>
      <c r="W1199">
        <v>18</v>
      </c>
    </row>
    <row r="1200" spans="1:23">
      <c r="A1200"/>
      <c r="B1200" t="s">
        <v>130</v>
      </c>
      <c r="C1200" t="s">
        <v>130</v>
      </c>
      <c r="D1200" t="s">
        <v>33</v>
      </c>
      <c r="E1200" t="s">
        <v>34</v>
      </c>
      <c r="F1200" t="str">
        <f>"0014818"</f>
        <v>0014818</v>
      </c>
      <c r="G1200">
        <v>1</v>
      </c>
      <c r="H1200" t="str">
        <f>"00000001"</f>
        <v>00000001</v>
      </c>
      <c r="I1200" t="s">
        <v>35</v>
      </c>
      <c r="J1200"/>
      <c r="K1200">
        <v>3.81</v>
      </c>
      <c r="L1200">
        <v>0.0</v>
      </c>
      <c r="M1200"/>
      <c r="N1200"/>
      <c r="O1200">
        <v>0.69</v>
      </c>
      <c r="P1200">
        <v>0.0</v>
      </c>
      <c r="Q1200">
        <v>4.5</v>
      </c>
      <c r="R1200"/>
      <c r="S1200"/>
      <c r="T1200"/>
      <c r="U1200"/>
      <c r="V1200"/>
      <c r="W1200">
        <v>18</v>
      </c>
    </row>
    <row r="1201" spans="1:23">
      <c r="A1201"/>
      <c r="B1201" t="s">
        <v>130</v>
      </c>
      <c r="C1201" t="s">
        <v>130</v>
      </c>
      <c r="D1201" t="s">
        <v>33</v>
      </c>
      <c r="E1201" t="s">
        <v>34</v>
      </c>
      <c r="F1201" t="str">
        <f>"0014819"</f>
        <v>0014819</v>
      </c>
      <c r="G1201">
        <v>6</v>
      </c>
      <c r="H1201" t="str">
        <f>"20610600787"</f>
        <v>20610600787</v>
      </c>
      <c r="I1201" t="s">
        <v>56</v>
      </c>
      <c r="J1201"/>
      <c r="K1201">
        <v>154.24</v>
      </c>
      <c r="L1201">
        <v>0.0</v>
      </c>
      <c r="M1201"/>
      <c r="N1201"/>
      <c r="O1201">
        <v>27.76</v>
      </c>
      <c r="P1201">
        <v>0.0</v>
      </c>
      <c r="Q1201">
        <v>182.0</v>
      </c>
      <c r="R1201"/>
      <c r="S1201"/>
      <c r="T1201"/>
      <c r="U1201"/>
      <c r="V1201"/>
      <c r="W1201">
        <v>18</v>
      </c>
    </row>
    <row r="1202" spans="1:23">
      <c r="A1202"/>
      <c r="B1202" t="s">
        <v>130</v>
      </c>
      <c r="C1202" t="s">
        <v>130</v>
      </c>
      <c r="D1202" t="s">
        <v>33</v>
      </c>
      <c r="E1202" t="s">
        <v>34</v>
      </c>
      <c r="F1202" t="str">
        <f>"0014820"</f>
        <v>0014820</v>
      </c>
      <c r="G1202">
        <v>1</v>
      </c>
      <c r="H1202" t="str">
        <f>"00000001"</f>
        <v>00000001</v>
      </c>
      <c r="I1202" t="s">
        <v>35</v>
      </c>
      <c r="J1202"/>
      <c r="K1202">
        <v>13.56</v>
      </c>
      <c r="L1202">
        <v>0.0</v>
      </c>
      <c r="M1202"/>
      <c r="N1202"/>
      <c r="O1202">
        <v>2.44</v>
      </c>
      <c r="P1202">
        <v>0.0</v>
      </c>
      <c r="Q1202">
        <v>16.0</v>
      </c>
      <c r="R1202"/>
      <c r="S1202"/>
      <c r="T1202"/>
      <c r="U1202"/>
      <c r="V1202"/>
      <c r="W1202">
        <v>18</v>
      </c>
    </row>
    <row r="1203" spans="1:23">
      <c r="A1203"/>
      <c r="B1203" t="s">
        <v>130</v>
      </c>
      <c r="C1203" t="s">
        <v>130</v>
      </c>
      <c r="D1203" t="s">
        <v>33</v>
      </c>
      <c r="E1203" t="s">
        <v>34</v>
      </c>
      <c r="F1203" t="str">
        <f>"0014821"</f>
        <v>0014821</v>
      </c>
      <c r="G1203">
        <v>1</v>
      </c>
      <c r="H1203" t="str">
        <f>"00000001"</f>
        <v>00000001</v>
      </c>
      <c r="I1203" t="s">
        <v>35</v>
      </c>
      <c r="J1203"/>
      <c r="K1203">
        <v>11.86</v>
      </c>
      <c r="L1203">
        <v>0.0</v>
      </c>
      <c r="M1203"/>
      <c r="N1203"/>
      <c r="O1203">
        <v>2.14</v>
      </c>
      <c r="P1203">
        <v>0.0</v>
      </c>
      <c r="Q1203">
        <v>14.0</v>
      </c>
      <c r="R1203"/>
      <c r="S1203"/>
      <c r="T1203"/>
      <c r="U1203"/>
      <c r="V1203"/>
      <c r="W1203">
        <v>18</v>
      </c>
    </row>
    <row r="1204" spans="1:23">
      <c r="A1204"/>
      <c r="B1204" t="s">
        <v>130</v>
      </c>
      <c r="C1204" t="s">
        <v>130</v>
      </c>
      <c r="D1204" t="s">
        <v>33</v>
      </c>
      <c r="E1204" t="s">
        <v>34</v>
      </c>
      <c r="F1204" t="str">
        <f>"0014822"</f>
        <v>0014822</v>
      </c>
      <c r="G1204">
        <v>1</v>
      </c>
      <c r="H1204" t="str">
        <f>"00000001"</f>
        <v>00000001</v>
      </c>
      <c r="I1204" t="s">
        <v>35</v>
      </c>
      <c r="J1204"/>
      <c r="K1204">
        <v>5.08</v>
      </c>
      <c r="L1204">
        <v>0.0</v>
      </c>
      <c r="M1204"/>
      <c r="N1204"/>
      <c r="O1204">
        <v>0.92</v>
      </c>
      <c r="P1204">
        <v>0.0</v>
      </c>
      <c r="Q1204">
        <v>6.0</v>
      </c>
      <c r="R1204"/>
      <c r="S1204"/>
      <c r="T1204"/>
      <c r="U1204"/>
      <c r="V1204"/>
      <c r="W1204">
        <v>18</v>
      </c>
    </row>
    <row r="1205" spans="1:23">
      <c r="A1205"/>
      <c r="B1205" t="s">
        <v>130</v>
      </c>
      <c r="C1205" t="s">
        <v>130</v>
      </c>
      <c r="D1205" t="s">
        <v>33</v>
      </c>
      <c r="E1205" t="s">
        <v>34</v>
      </c>
      <c r="F1205" t="str">
        <f>"0014823"</f>
        <v>0014823</v>
      </c>
      <c r="G1205">
        <v>1</v>
      </c>
      <c r="H1205" t="str">
        <f>"00000001"</f>
        <v>00000001</v>
      </c>
      <c r="I1205" t="s">
        <v>35</v>
      </c>
      <c r="J1205"/>
      <c r="K1205">
        <v>8.47</v>
      </c>
      <c r="L1205">
        <v>0.0</v>
      </c>
      <c r="M1205"/>
      <c r="N1205"/>
      <c r="O1205">
        <v>1.53</v>
      </c>
      <c r="P1205">
        <v>0.0</v>
      </c>
      <c r="Q1205">
        <v>10.0</v>
      </c>
      <c r="R1205"/>
      <c r="S1205"/>
      <c r="T1205"/>
      <c r="U1205"/>
      <c r="V1205"/>
      <c r="W1205">
        <v>18</v>
      </c>
    </row>
    <row r="1206" spans="1:23">
      <c r="A1206"/>
      <c r="B1206" t="s">
        <v>130</v>
      </c>
      <c r="C1206" t="s">
        <v>130</v>
      </c>
      <c r="D1206" t="s">
        <v>33</v>
      </c>
      <c r="E1206" t="s">
        <v>34</v>
      </c>
      <c r="F1206" t="str">
        <f>"0014824"</f>
        <v>0014824</v>
      </c>
      <c r="G1206">
        <v>1</v>
      </c>
      <c r="H1206" t="str">
        <f>"00000001"</f>
        <v>00000001</v>
      </c>
      <c r="I1206" t="s">
        <v>35</v>
      </c>
      <c r="J1206"/>
      <c r="K1206">
        <v>19.49</v>
      </c>
      <c r="L1206">
        <v>0.0</v>
      </c>
      <c r="M1206"/>
      <c r="N1206"/>
      <c r="O1206">
        <v>3.51</v>
      </c>
      <c r="P1206">
        <v>0.0</v>
      </c>
      <c r="Q1206">
        <v>23.0</v>
      </c>
      <c r="R1206"/>
      <c r="S1206"/>
      <c r="T1206"/>
      <c r="U1206"/>
      <c r="V1206"/>
      <c r="W1206">
        <v>18</v>
      </c>
    </row>
    <row r="1207" spans="1:23">
      <c r="A1207"/>
      <c r="B1207" t="s">
        <v>130</v>
      </c>
      <c r="C1207" t="s">
        <v>130</v>
      </c>
      <c r="D1207" t="s">
        <v>33</v>
      </c>
      <c r="E1207" t="s">
        <v>34</v>
      </c>
      <c r="F1207" t="str">
        <f>"0014825"</f>
        <v>0014825</v>
      </c>
      <c r="G1207">
        <v>1</v>
      </c>
      <c r="H1207" t="str">
        <f>"00000001"</f>
        <v>00000001</v>
      </c>
      <c r="I1207" t="s">
        <v>35</v>
      </c>
      <c r="J1207"/>
      <c r="K1207">
        <v>23.73</v>
      </c>
      <c r="L1207">
        <v>0.0</v>
      </c>
      <c r="M1207"/>
      <c r="N1207"/>
      <c r="O1207">
        <v>4.27</v>
      </c>
      <c r="P1207">
        <v>0.0</v>
      </c>
      <c r="Q1207">
        <v>28.0</v>
      </c>
      <c r="R1207"/>
      <c r="S1207"/>
      <c r="T1207"/>
      <c r="U1207"/>
      <c r="V1207"/>
      <c r="W1207">
        <v>18</v>
      </c>
    </row>
    <row r="1208" spans="1:23">
      <c r="A1208"/>
      <c r="B1208" t="s">
        <v>130</v>
      </c>
      <c r="C1208" t="s">
        <v>130</v>
      </c>
      <c r="D1208" t="s">
        <v>33</v>
      </c>
      <c r="E1208" t="s">
        <v>34</v>
      </c>
      <c r="F1208" t="str">
        <f>"0014826"</f>
        <v>0014826</v>
      </c>
      <c r="G1208">
        <v>1</v>
      </c>
      <c r="H1208" t="str">
        <f>"00000001"</f>
        <v>00000001</v>
      </c>
      <c r="I1208" t="s">
        <v>35</v>
      </c>
      <c r="J1208"/>
      <c r="K1208">
        <v>8.14</v>
      </c>
      <c r="L1208">
        <v>0.0</v>
      </c>
      <c r="M1208"/>
      <c r="N1208"/>
      <c r="O1208">
        <v>1.46</v>
      </c>
      <c r="P1208">
        <v>0.0</v>
      </c>
      <c r="Q1208">
        <v>9.6</v>
      </c>
      <c r="R1208"/>
      <c r="S1208"/>
      <c r="T1208"/>
      <c r="U1208"/>
      <c r="V1208"/>
      <c r="W1208">
        <v>18</v>
      </c>
    </row>
    <row r="1209" spans="1:23">
      <c r="A1209"/>
      <c r="B1209" t="s">
        <v>130</v>
      </c>
      <c r="C1209" t="s">
        <v>130</v>
      </c>
      <c r="D1209" t="s">
        <v>33</v>
      </c>
      <c r="E1209" t="s">
        <v>34</v>
      </c>
      <c r="F1209" t="str">
        <f>"0014827"</f>
        <v>0014827</v>
      </c>
      <c r="G1209">
        <v>1</v>
      </c>
      <c r="H1209" t="str">
        <f>"00000001"</f>
        <v>00000001</v>
      </c>
      <c r="I1209" t="s">
        <v>35</v>
      </c>
      <c r="J1209"/>
      <c r="K1209">
        <v>3.39</v>
      </c>
      <c r="L1209">
        <v>0.0</v>
      </c>
      <c r="M1209"/>
      <c r="N1209"/>
      <c r="O1209">
        <v>0.61</v>
      </c>
      <c r="P1209">
        <v>0.0</v>
      </c>
      <c r="Q1209">
        <v>4.0</v>
      </c>
      <c r="R1209"/>
      <c r="S1209"/>
      <c r="T1209"/>
      <c r="U1209"/>
      <c r="V1209"/>
      <c r="W1209">
        <v>18</v>
      </c>
    </row>
    <row r="1210" spans="1:23">
      <c r="A1210"/>
      <c r="B1210" t="s">
        <v>130</v>
      </c>
      <c r="C1210" t="s">
        <v>130</v>
      </c>
      <c r="D1210" t="s">
        <v>33</v>
      </c>
      <c r="E1210" t="s">
        <v>34</v>
      </c>
      <c r="F1210" t="str">
        <f>"0014828"</f>
        <v>0014828</v>
      </c>
      <c r="G1210">
        <v>1</v>
      </c>
      <c r="H1210" t="str">
        <f>"00000001"</f>
        <v>00000001</v>
      </c>
      <c r="I1210" t="s">
        <v>35</v>
      </c>
      <c r="J1210"/>
      <c r="K1210">
        <v>16.1</v>
      </c>
      <c r="L1210">
        <v>0.0</v>
      </c>
      <c r="M1210"/>
      <c r="N1210"/>
      <c r="O1210">
        <v>2.9</v>
      </c>
      <c r="P1210">
        <v>0.0</v>
      </c>
      <c r="Q1210">
        <v>19.0</v>
      </c>
      <c r="R1210"/>
      <c r="S1210"/>
      <c r="T1210"/>
      <c r="U1210"/>
      <c r="V1210"/>
      <c r="W1210">
        <v>18</v>
      </c>
    </row>
    <row r="1211" spans="1:23">
      <c r="A1211"/>
      <c r="B1211" t="s">
        <v>130</v>
      </c>
      <c r="C1211" t="s">
        <v>130</v>
      </c>
      <c r="D1211" t="s">
        <v>33</v>
      </c>
      <c r="E1211" t="s">
        <v>34</v>
      </c>
      <c r="F1211" t="str">
        <f>"0014829"</f>
        <v>0014829</v>
      </c>
      <c r="G1211">
        <v>1</v>
      </c>
      <c r="H1211" t="str">
        <f>"00082661"</f>
        <v>00082661</v>
      </c>
      <c r="I1211" t="s">
        <v>132</v>
      </c>
      <c r="J1211"/>
      <c r="K1211">
        <v>4.24</v>
      </c>
      <c r="L1211">
        <v>0.0</v>
      </c>
      <c r="M1211"/>
      <c r="N1211"/>
      <c r="O1211">
        <v>0.76</v>
      </c>
      <c r="P1211">
        <v>0.0</v>
      </c>
      <c r="Q1211">
        <v>5.0</v>
      </c>
      <c r="R1211"/>
      <c r="S1211"/>
      <c r="T1211"/>
      <c r="U1211"/>
      <c r="V1211"/>
      <c r="W1211">
        <v>18</v>
      </c>
    </row>
    <row r="1212" spans="1:23">
      <c r="A1212"/>
      <c r="B1212" t="s">
        <v>130</v>
      </c>
      <c r="C1212" t="s">
        <v>130</v>
      </c>
      <c r="D1212" t="s">
        <v>33</v>
      </c>
      <c r="E1212" t="s">
        <v>34</v>
      </c>
      <c r="F1212" t="str">
        <f>"0014830"</f>
        <v>0014830</v>
      </c>
      <c r="G1212">
        <v>1</v>
      </c>
      <c r="H1212" t="str">
        <f>"00000001"</f>
        <v>00000001</v>
      </c>
      <c r="I1212" t="s">
        <v>35</v>
      </c>
      <c r="J1212"/>
      <c r="K1212">
        <v>5.08</v>
      </c>
      <c r="L1212">
        <v>0.0</v>
      </c>
      <c r="M1212"/>
      <c r="N1212"/>
      <c r="O1212">
        <v>0.92</v>
      </c>
      <c r="P1212">
        <v>0.0</v>
      </c>
      <c r="Q1212">
        <v>6.0</v>
      </c>
      <c r="R1212"/>
      <c r="S1212"/>
      <c r="T1212"/>
      <c r="U1212"/>
      <c r="V1212"/>
      <c r="W1212">
        <v>18</v>
      </c>
    </row>
    <row r="1213" spans="1:23">
      <c r="A1213"/>
      <c r="B1213" t="s">
        <v>130</v>
      </c>
      <c r="C1213" t="s">
        <v>130</v>
      </c>
      <c r="D1213" t="s">
        <v>33</v>
      </c>
      <c r="E1213" t="s">
        <v>34</v>
      </c>
      <c r="F1213" t="str">
        <f>"0014831"</f>
        <v>0014831</v>
      </c>
      <c r="G1213">
        <v>1</v>
      </c>
      <c r="H1213" t="str">
        <f>"00000001"</f>
        <v>00000001</v>
      </c>
      <c r="I1213" t="s">
        <v>35</v>
      </c>
      <c r="J1213"/>
      <c r="K1213">
        <v>15.25</v>
      </c>
      <c r="L1213">
        <v>0.0</v>
      </c>
      <c r="M1213"/>
      <c r="N1213"/>
      <c r="O1213">
        <v>2.75</v>
      </c>
      <c r="P1213">
        <v>0.0</v>
      </c>
      <c r="Q1213">
        <v>18.0</v>
      </c>
      <c r="R1213"/>
      <c r="S1213"/>
      <c r="T1213"/>
      <c r="U1213"/>
      <c r="V1213"/>
      <c r="W1213">
        <v>18</v>
      </c>
    </row>
    <row r="1214" spans="1:23">
      <c r="A1214"/>
      <c r="B1214" t="s">
        <v>130</v>
      </c>
      <c r="C1214" t="s">
        <v>130</v>
      </c>
      <c r="D1214" t="s">
        <v>33</v>
      </c>
      <c r="E1214" t="s">
        <v>34</v>
      </c>
      <c r="F1214" t="str">
        <f>"0014832"</f>
        <v>0014832</v>
      </c>
      <c r="G1214">
        <v>1</v>
      </c>
      <c r="H1214" t="str">
        <f>"00000001"</f>
        <v>00000001</v>
      </c>
      <c r="I1214" t="s">
        <v>35</v>
      </c>
      <c r="J1214"/>
      <c r="K1214">
        <v>37.29</v>
      </c>
      <c r="L1214">
        <v>0.0</v>
      </c>
      <c r="M1214"/>
      <c r="N1214"/>
      <c r="O1214">
        <v>6.71</v>
      </c>
      <c r="P1214">
        <v>0.0</v>
      </c>
      <c r="Q1214">
        <v>44.0</v>
      </c>
      <c r="R1214"/>
      <c r="S1214"/>
      <c r="T1214"/>
      <c r="U1214"/>
      <c r="V1214"/>
      <c r="W1214">
        <v>18</v>
      </c>
    </row>
    <row r="1215" spans="1:23">
      <c r="A1215"/>
      <c r="B1215" t="s">
        <v>130</v>
      </c>
      <c r="C1215" t="s">
        <v>130</v>
      </c>
      <c r="D1215" t="s">
        <v>33</v>
      </c>
      <c r="E1215" t="s">
        <v>34</v>
      </c>
      <c r="F1215" t="str">
        <f>"0014833"</f>
        <v>0014833</v>
      </c>
      <c r="G1215">
        <v>1</v>
      </c>
      <c r="H1215" t="str">
        <f>"00000001"</f>
        <v>00000001</v>
      </c>
      <c r="I1215" t="s">
        <v>35</v>
      </c>
      <c r="J1215"/>
      <c r="K1215">
        <v>12.71</v>
      </c>
      <c r="L1215">
        <v>0.0</v>
      </c>
      <c r="M1215"/>
      <c r="N1215"/>
      <c r="O1215">
        <v>2.29</v>
      </c>
      <c r="P1215">
        <v>0.0</v>
      </c>
      <c r="Q1215">
        <v>15.0</v>
      </c>
      <c r="R1215"/>
      <c r="S1215"/>
      <c r="T1215"/>
      <c r="U1215"/>
      <c r="V1215"/>
      <c r="W1215">
        <v>18</v>
      </c>
    </row>
    <row r="1216" spans="1:23">
      <c r="A1216"/>
      <c r="B1216" t="s">
        <v>130</v>
      </c>
      <c r="C1216" t="s">
        <v>130</v>
      </c>
      <c r="D1216" t="s">
        <v>33</v>
      </c>
      <c r="E1216" t="s">
        <v>34</v>
      </c>
      <c r="F1216" t="str">
        <f>"0014834"</f>
        <v>0014834</v>
      </c>
      <c r="G1216">
        <v>1</v>
      </c>
      <c r="H1216" t="str">
        <f>"00000001"</f>
        <v>00000001</v>
      </c>
      <c r="I1216" t="s">
        <v>35</v>
      </c>
      <c r="J1216"/>
      <c r="K1216">
        <v>9.32</v>
      </c>
      <c r="L1216">
        <v>0.0</v>
      </c>
      <c r="M1216"/>
      <c r="N1216"/>
      <c r="O1216">
        <v>1.68</v>
      </c>
      <c r="P1216">
        <v>0.0</v>
      </c>
      <c r="Q1216">
        <v>11.0</v>
      </c>
      <c r="R1216"/>
      <c r="S1216"/>
      <c r="T1216"/>
      <c r="U1216"/>
      <c r="V1216"/>
      <c r="W1216">
        <v>18</v>
      </c>
    </row>
    <row r="1217" spans="1:23">
      <c r="A1217"/>
      <c r="B1217" t="s">
        <v>130</v>
      </c>
      <c r="C1217" t="s">
        <v>130</v>
      </c>
      <c r="D1217" t="s">
        <v>33</v>
      </c>
      <c r="E1217" t="s">
        <v>34</v>
      </c>
      <c r="F1217" t="str">
        <f>"0014835"</f>
        <v>0014835</v>
      </c>
      <c r="G1217">
        <v>1</v>
      </c>
      <c r="H1217" t="str">
        <f>"00000001"</f>
        <v>00000001</v>
      </c>
      <c r="I1217" t="s">
        <v>35</v>
      </c>
      <c r="J1217"/>
      <c r="K1217">
        <v>16.95</v>
      </c>
      <c r="L1217">
        <v>0.0</v>
      </c>
      <c r="M1217"/>
      <c r="N1217"/>
      <c r="O1217">
        <v>3.05</v>
      </c>
      <c r="P1217">
        <v>0.0</v>
      </c>
      <c r="Q1217">
        <v>20.0</v>
      </c>
      <c r="R1217"/>
      <c r="S1217"/>
      <c r="T1217"/>
      <c r="U1217"/>
      <c r="V1217"/>
      <c r="W1217">
        <v>18</v>
      </c>
    </row>
    <row r="1218" spans="1:23">
      <c r="A1218"/>
      <c r="B1218" t="s">
        <v>130</v>
      </c>
      <c r="C1218" t="s">
        <v>130</v>
      </c>
      <c r="D1218" t="s">
        <v>33</v>
      </c>
      <c r="E1218" t="s">
        <v>34</v>
      </c>
      <c r="F1218" t="str">
        <f>"0014836"</f>
        <v>0014836</v>
      </c>
      <c r="G1218">
        <v>1</v>
      </c>
      <c r="H1218" t="str">
        <f>"00000001"</f>
        <v>00000001</v>
      </c>
      <c r="I1218" t="s">
        <v>35</v>
      </c>
      <c r="J1218"/>
      <c r="K1218">
        <v>1.69</v>
      </c>
      <c r="L1218">
        <v>0.0</v>
      </c>
      <c r="M1218"/>
      <c r="N1218"/>
      <c r="O1218">
        <v>0.31</v>
      </c>
      <c r="P1218">
        <v>0.0</v>
      </c>
      <c r="Q1218">
        <v>2.0</v>
      </c>
      <c r="R1218"/>
      <c r="S1218"/>
      <c r="T1218"/>
      <c r="U1218"/>
      <c r="V1218"/>
      <c r="W1218">
        <v>18</v>
      </c>
    </row>
    <row r="1219" spans="1:23">
      <c r="A1219"/>
      <c r="B1219" t="s">
        <v>130</v>
      </c>
      <c r="C1219" t="s">
        <v>130</v>
      </c>
      <c r="D1219" t="s">
        <v>33</v>
      </c>
      <c r="E1219" t="s">
        <v>34</v>
      </c>
      <c r="F1219" t="str">
        <f>"0014837"</f>
        <v>0014837</v>
      </c>
      <c r="G1219">
        <v>1</v>
      </c>
      <c r="H1219" t="str">
        <f>"00000001"</f>
        <v>00000001</v>
      </c>
      <c r="I1219" t="s">
        <v>35</v>
      </c>
      <c r="J1219"/>
      <c r="K1219">
        <v>12.71</v>
      </c>
      <c r="L1219">
        <v>0.0</v>
      </c>
      <c r="M1219"/>
      <c r="N1219"/>
      <c r="O1219">
        <v>2.29</v>
      </c>
      <c r="P1219">
        <v>0.0</v>
      </c>
      <c r="Q1219">
        <v>15.0</v>
      </c>
      <c r="R1219"/>
      <c r="S1219"/>
      <c r="T1219"/>
      <c r="U1219"/>
      <c r="V1219"/>
      <c r="W1219">
        <v>18</v>
      </c>
    </row>
    <row r="1220" spans="1:23">
      <c r="A1220"/>
      <c r="B1220" t="s">
        <v>130</v>
      </c>
      <c r="C1220" t="s">
        <v>130</v>
      </c>
      <c r="D1220" t="s">
        <v>33</v>
      </c>
      <c r="E1220" t="s">
        <v>34</v>
      </c>
      <c r="F1220" t="str">
        <f>"0014838"</f>
        <v>0014838</v>
      </c>
      <c r="G1220">
        <v>1</v>
      </c>
      <c r="H1220" t="str">
        <f>"00000001"</f>
        <v>00000001</v>
      </c>
      <c r="I1220" t="s">
        <v>35</v>
      </c>
      <c r="J1220"/>
      <c r="K1220">
        <v>6.78</v>
      </c>
      <c r="L1220">
        <v>0.0</v>
      </c>
      <c r="M1220"/>
      <c r="N1220"/>
      <c r="O1220">
        <v>1.22</v>
      </c>
      <c r="P1220">
        <v>0.0</v>
      </c>
      <c r="Q1220">
        <v>8.0</v>
      </c>
      <c r="R1220"/>
      <c r="S1220"/>
      <c r="T1220"/>
      <c r="U1220"/>
      <c r="V1220"/>
      <c r="W1220">
        <v>18</v>
      </c>
    </row>
    <row r="1221" spans="1:23">
      <c r="A1221"/>
      <c r="B1221" t="s">
        <v>130</v>
      </c>
      <c r="C1221" t="s">
        <v>130</v>
      </c>
      <c r="D1221" t="s">
        <v>33</v>
      </c>
      <c r="E1221" t="s">
        <v>34</v>
      </c>
      <c r="F1221" t="str">
        <f>"0014839"</f>
        <v>0014839</v>
      </c>
      <c r="G1221">
        <v>1</v>
      </c>
      <c r="H1221" t="str">
        <f>"00000001"</f>
        <v>00000001</v>
      </c>
      <c r="I1221" t="s">
        <v>35</v>
      </c>
      <c r="J1221"/>
      <c r="K1221">
        <v>5.93</v>
      </c>
      <c r="L1221">
        <v>0.0</v>
      </c>
      <c r="M1221"/>
      <c r="N1221"/>
      <c r="O1221">
        <v>1.07</v>
      </c>
      <c r="P1221">
        <v>0.0</v>
      </c>
      <c r="Q1221">
        <v>7.0</v>
      </c>
      <c r="R1221"/>
      <c r="S1221"/>
      <c r="T1221"/>
      <c r="U1221"/>
      <c r="V1221"/>
      <c r="W1221">
        <v>18</v>
      </c>
    </row>
    <row r="1222" spans="1:23">
      <c r="A1222"/>
      <c r="B1222" t="s">
        <v>130</v>
      </c>
      <c r="C1222" t="s">
        <v>130</v>
      </c>
      <c r="D1222" t="s">
        <v>33</v>
      </c>
      <c r="E1222" t="s">
        <v>34</v>
      </c>
      <c r="F1222" t="str">
        <f>"0014840"</f>
        <v>0014840</v>
      </c>
      <c r="G1222">
        <v>1</v>
      </c>
      <c r="H1222" t="str">
        <f>"00000001"</f>
        <v>00000001</v>
      </c>
      <c r="I1222" t="s">
        <v>35</v>
      </c>
      <c r="J1222"/>
      <c r="K1222">
        <v>8.47</v>
      </c>
      <c r="L1222">
        <v>0.0</v>
      </c>
      <c r="M1222"/>
      <c r="N1222"/>
      <c r="O1222">
        <v>1.53</v>
      </c>
      <c r="P1222">
        <v>0.0</v>
      </c>
      <c r="Q1222">
        <v>10.0</v>
      </c>
      <c r="R1222"/>
      <c r="S1222"/>
      <c r="T1222"/>
      <c r="U1222"/>
      <c r="V1222"/>
      <c r="W1222">
        <v>18</v>
      </c>
    </row>
    <row r="1223" spans="1:23">
      <c r="A1223"/>
      <c r="B1223" t="s">
        <v>130</v>
      </c>
      <c r="C1223" t="s">
        <v>130</v>
      </c>
      <c r="D1223" t="s">
        <v>33</v>
      </c>
      <c r="E1223" t="s">
        <v>34</v>
      </c>
      <c r="F1223" t="str">
        <f>"0014841"</f>
        <v>0014841</v>
      </c>
      <c r="G1223">
        <v>1</v>
      </c>
      <c r="H1223" t="str">
        <f>"00000001"</f>
        <v>00000001</v>
      </c>
      <c r="I1223" t="s">
        <v>35</v>
      </c>
      <c r="J1223"/>
      <c r="K1223">
        <v>6.36</v>
      </c>
      <c r="L1223">
        <v>0.0</v>
      </c>
      <c r="M1223"/>
      <c r="N1223"/>
      <c r="O1223">
        <v>1.14</v>
      </c>
      <c r="P1223">
        <v>0.0</v>
      </c>
      <c r="Q1223">
        <v>7.5</v>
      </c>
      <c r="R1223"/>
      <c r="S1223"/>
      <c r="T1223"/>
      <c r="U1223"/>
      <c r="V1223"/>
      <c r="W1223">
        <v>18</v>
      </c>
    </row>
    <row r="1224" spans="1:23">
      <c r="A1224"/>
      <c r="B1224" t="s">
        <v>130</v>
      </c>
      <c r="C1224" t="s">
        <v>130</v>
      </c>
      <c r="D1224" t="s">
        <v>33</v>
      </c>
      <c r="E1224" t="s">
        <v>34</v>
      </c>
      <c r="F1224" t="str">
        <f>"0014842"</f>
        <v>0014842</v>
      </c>
      <c r="G1224">
        <v>1</v>
      </c>
      <c r="H1224" t="str">
        <f>"00000001"</f>
        <v>00000001</v>
      </c>
      <c r="I1224" t="s">
        <v>35</v>
      </c>
      <c r="J1224"/>
      <c r="K1224">
        <v>8.47</v>
      </c>
      <c r="L1224">
        <v>0.0</v>
      </c>
      <c r="M1224"/>
      <c r="N1224"/>
      <c r="O1224">
        <v>1.53</v>
      </c>
      <c r="P1224">
        <v>0.0</v>
      </c>
      <c r="Q1224">
        <v>10.0</v>
      </c>
      <c r="R1224"/>
      <c r="S1224"/>
      <c r="T1224"/>
      <c r="U1224"/>
      <c r="V1224"/>
      <c r="W1224">
        <v>18</v>
      </c>
    </row>
    <row r="1225" spans="1:23">
      <c r="A1225"/>
      <c r="B1225" t="s">
        <v>130</v>
      </c>
      <c r="C1225" t="s">
        <v>130</v>
      </c>
      <c r="D1225" t="s">
        <v>33</v>
      </c>
      <c r="E1225" t="s">
        <v>34</v>
      </c>
      <c r="F1225" t="str">
        <f>"0014843"</f>
        <v>0014843</v>
      </c>
      <c r="G1225">
        <v>1</v>
      </c>
      <c r="H1225" t="str">
        <f>"00000001"</f>
        <v>00000001</v>
      </c>
      <c r="I1225" t="s">
        <v>35</v>
      </c>
      <c r="J1225"/>
      <c r="K1225">
        <v>11.02</v>
      </c>
      <c r="L1225">
        <v>0.0</v>
      </c>
      <c r="M1225"/>
      <c r="N1225"/>
      <c r="O1225">
        <v>1.98</v>
      </c>
      <c r="P1225">
        <v>0.0</v>
      </c>
      <c r="Q1225">
        <v>13.0</v>
      </c>
      <c r="R1225"/>
      <c r="S1225"/>
      <c r="T1225"/>
      <c r="U1225"/>
      <c r="V1225"/>
      <c r="W1225">
        <v>18</v>
      </c>
    </row>
    <row r="1226" spans="1:23">
      <c r="A1226"/>
      <c r="B1226" t="s">
        <v>130</v>
      </c>
      <c r="C1226" t="s">
        <v>130</v>
      </c>
      <c r="D1226" t="s">
        <v>33</v>
      </c>
      <c r="E1226" t="s">
        <v>34</v>
      </c>
      <c r="F1226" t="str">
        <f>"0014844"</f>
        <v>0014844</v>
      </c>
      <c r="G1226">
        <v>1</v>
      </c>
      <c r="H1226" t="str">
        <f>"00000001"</f>
        <v>00000001</v>
      </c>
      <c r="I1226" t="s">
        <v>35</v>
      </c>
      <c r="J1226"/>
      <c r="K1226">
        <v>8.47</v>
      </c>
      <c r="L1226">
        <v>0.0</v>
      </c>
      <c r="M1226"/>
      <c r="N1226"/>
      <c r="O1226">
        <v>1.53</v>
      </c>
      <c r="P1226">
        <v>0.0</v>
      </c>
      <c r="Q1226">
        <v>10.0</v>
      </c>
      <c r="R1226"/>
      <c r="S1226"/>
      <c r="T1226"/>
      <c r="U1226"/>
      <c r="V1226"/>
      <c r="W1226">
        <v>18</v>
      </c>
    </row>
    <row r="1227" spans="1:23">
      <c r="A1227"/>
      <c r="B1227" t="s">
        <v>130</v>
      </c>
      <c r="C1227" t="s">
        <v>130</v>
      </c>
      <c r="D1227" t="s">
        <v>33</v>
      </c>
      <c r="E1227" t="s">
        <v>34</v>
      </c>
      <c r="F1227" t="str">
        <f>"0014845"</f>
        <v>0014845</v>
      </c>
      <c r="G1227">
        <v>1</v>
      </c>
      <c r="H1227" t="str">
        <f>"00000001"</f>
        <v>00000001</v>
      </c>
      <c r="I1227" t="s">
        <v>35</v>
      </c>
      <c r="J1227"/>
      <c r="K1227">
        <v>2.54</v>
      </c>
      <c r="L1227">
        <v>0.0</v>
      </c>
      <c r="M1227"/>
      <c r="N1227"/>
      <c r="O1227">
        <v>0.46</v>
      </c>
      <c r="P1227">
        <v>0.0</v>
      </c>
      <c r="Q1227">
        <v>3.0</v>
      </c>
      <c r="R1227"/>
      <c r="S1227"/>
      <c r="T1227"/>
      <c r="U1227"/>
      <c r="V1227"/>
      <c r="W1227">
        <v>18</v>
      </c>
    </row>
    <row r="1228" spans="1:23">
      <c r="A1228"/>
      <c r="B1228" t="s">
        <v>133</v>
      </c>
      <c r="C1228" t="s">
        <v>133</v>
      </c>
      <c r="D1228" t="s">
        <v>33</v>
      </c>
      <c r="E1228" t="s">
        <v>34</v>
      </c>
      <c r="F1228" t="str">
        <f>"0014846"</f>
        <v>0014846</v>
      </c>
      <c r="G1228">
        <v>1</v>
      </c>
      <c r="H1228" t="str">
        <f>"00000001"</f>
        <v>00000001</v>
      </c>
      <c r="I1228" t="s">
        <v>35</v>
      </c>
      <c r="J1228"/>
      <c r="K1228">
        <v>22.88</v>
      </c>
      <c r="L1228">
        <v>0.0</v>
      </c>
      <c r="M1228"/>
      <c r="N1228"/>
      <c r="O1228">
        <v>4.12</v>
      </c>
      <c r="P1228">
        <v>0.0</v>
      </c>
      <c r="Q1228">
        <v>27.0</v>
      </c>
      <c r="R1228"/>
      <c r="S1228"/>
      <c r="T1228"/>
      <c r="U1228"/>
      <c r="V1228"/>
      <c r="W1228">
        <v>18</v>
      </c>
    </row>
    <row r="1229" spans="1:23">
      <c r="A1229"/>
      <c r="B1229" t="s">
        <v>133</v>
      </c>
      <c r="C1229" t="s">
        <v>133</v>
      </c>
      <c r="D1229" t="s">
        <v>33</v>
      </c>
      <c r="E1229" t="s">
        <v>34</v>
      </c>
      <c r="F1229" t="str">
        <f>"0014847"</f>
        <v>0014847</v>
      </c>
      <c r="G1229">
        <v>1</v>
      </c>
      <c r="H1229" t="str">
        <f>"00000001"</f>
        <v>00000001</v>
      </c>
      <c r="I1229" t="s">
        <v>35</v>
      </c>
      <c r="J1229"/>
      <c r="K1229">
        <v>12.71</v>
      </c>
      <c r="L1229">
        <v>0.0</v>
      </c>
      <c r="M1229"/>
      <c r="N1229"/>
      <c r="O1229">
        <v>2.29</v>
      </c>
      <c r="P1229">
        <v>0.0</v>
      </c>
      <c r="Q1229">
        <v>15.0</v>
      </c>
      <c r="R1229"/>
      <c r="S1229"/>
      <c r="T1229"/>
      <c r="U1229"/>
      <c r="V1229"/>
      <c r="W1229">
        <v>18</v>
      </c>
    </row>
    <row r="1230" spans="1:23">
      <c r="A1230"/>
      <c r="B1230" t="s">
        <v>133</v>
      </c>
      <c r="C1230" t="s">
        <v>133</v>
      </c>
      <c r="D1230" t="s">
        <v>33</v>
      </c>
      <c r="E1230" t="s">
        <v>34</v>
      </c>
      <c r="F1230" t="str">
        <f>"0014848"</f>
        <v>0014848</v>
      </c>
      <c r="G1230">
        <v>1</v>
      </c>
      <c r="H1230" t="str">
        <f>"00000001"</f>
        <v>00000001</v>
      </c>
      <c r="I1230" t="s">
        <v>35</v>
      </c>
      <c r="J1230"/>
      <c r="K1230">
        <v>18.64</v>
      </c>
      <c r="L1230">
        <v>0.0</v>
      </c>
      <c r="M1230"/>
      <c r="N1230"/>
      <c r="O1230">
        <v>3.36</v>
      </c>
      <c r="P1230">
        <v>0.0</v>
      </c>
      <c r="Q1230">
        <v>22.0</v>
      </c>
      <c r="R1230"/>
      <c r="S1230"/>
      <c r="T1230"/>
      <c r="U1230"/>
      <c r="V1230"/>
      <c r="W1230">
        <v>18</v>
      </c>
    </row>
    <row r="1231" spans="1:23">
      <c r="A1231"/>
      <c r="B1231" t="s">
        <v>133</v>
      </c>
      <c r="C1231" t="s">
        <v>133</v>
      </c>
      <c r="D1231" t="s">
        <v>33</v>
      </c>
      <c r="E1231" t="s">
        <v>34</v>
      </c>
      <c r="F1231" t="str">
        <f>"0014849"</f>
        <v>0014849</v>
      </c>
      <c r="G1231">
        <v>1</v>
      </c>
      <c r="H1231" t="str">
        <f>"00000001"</f>
        <v>00000001</v>
      </c>
      <c r="I1231" t="s">
        <v>35</v>
      </c>
      <c r="J1231"/>
      <c r="K1231">
        <v>10.17</v>
      </c>
      <c r="L1231">
        <v>0.0</v>
      </c>
      <c r="M1231"/>
      <c r="N1231"/>
      <c r="O1231">
        <v>1.83</v>
      </c>
      <c r="P1231">
        <v>0.0</v>
      </c>
      <c r="Q1231">
        <v>12.0</v>
      </c>
      <c r="R1231"/>
      <c r="S1231"/>
      <c r="T1231"/>
      <c r="U1231"/>
      <c r="V1231"/>
      <c r="W1231">
        <v>18</v>
      </c>
    </row>
    <row r="1232" spans="1:23">
      <c r="A1232"/>
      <c r="B1232" t="s">
        <v>133</v>
      </c>
      <c r="C1232" t="s">
        <v>133</v>
      </c>
      <c r="D1232" t="s">
        <v>33</v>
      </c>
      <c r="E1232" t="s">
        <v>34</v>
      </c>
      <c r="F1232" t="str">
        <f>"0014850"</f>
        <v>0014850</v>
      </c>
      <c r="G1232">
        <v>1</v>
      </c>
      <c r="H1232" t="str">
        <f>"00000001"</f>
        <v>00000001</v>
      </c>
      <c r="I1232" t="s">
        <v>35</v>
      </c>
      <c r="J1232"/>
      <c r="K1232">
        <v>25.42</v>
      </c>
      <c r="L1232">
        <v>0.0</v>
      </c>
      <c r="M1232"/>
      <c r="N1232"/>
      <c r="O1232">
        <v>4.58</v>
      </c>
      <c r="P1232">
        <v>0.0</v>
      </c>
      <c r="Q1232">
        <v>30.0</v>
      </c>
      <c r="R1232"/>
      <c r="S1232"/>
      <c r="T1232"/>
      <c r="U1232"/>
      <c r="V1232"/>
      <c r="W1232">
        <v>18</v>
      </c>
    </row>
    <row r="1233" spans="1:23">
      <c r="A1233"/>
      <c r="B1233" t="s">
        <v>133</v>
      </c>
      <c r="C1233" t="s">
        <v>133</v>
      </c>
      <c r="D1233" t="s">
        <v>33</v>
      </c>
      <c r="E1233" t="s">
        <v>34</v>
      </c>
      <c r="F1233" t="str">
        <f>"0014851"</f>
        <v>0014851</v>
      </c>
      <c r="G1233">
        <v>1</v>
      </c>
      <c r="H1233" t="str">
        <f>"00000001"</f>
        <v>00000001</v>
      </c>
      <c r="I1233" t="s">
        <v>35</v>
      </c>
      <c r="J1233"/>
      <c r="K1233">
        <v>360.17</v>
      </c>
      <c r="L1233">
        <v>0.0</v>
      </c>
      <c r="M1233"/>
      <c r="N1233"/>
      <c r="O1233">
        <v>64.83</v>
      </c>
      <c r="P1233">
        <v>0.0</v>
      </c>
      <c r="Q1233">
        <v>425.0</v>
      </c>
      <c r="R1233"/>
      <c r="S1233"/>
      <c r="T1233"/>
      <c r="U1233"/>
      <c r="V1233"/>
      <c r="W1233">
        <v>18</v>
      </c>
    </row>
    <row r="1234" spans="1:23">
      <c r="A1234"/>
      <c r="B1234" t="s">
        <v>133</v>
      </c>
      <c r="C1234" t="s">
        <v>133</v>
      </c>
      <c r="D1234" t="s">
        <v>33</v>
      </c>
      <c r="E1234" t="s">
        <v>34</v>
      </c>
      <c r="F1234" t="str">
        <f>"0014852"</f>
        <v>0014852</v>
      </c>
      <c r="G1234">
        <v>1</v>
      </c>
      <c r="H1234" t="str">
        <f>"00000001"</f>
        <v>00000001</v>
      </c>
      <c r="I1234" t="s">
        <v>35</v>
      </c>
      <c r="J1234"/>
      <c r="K1234">
        <v>6.78</v>
      </c>
      <c r="L1234">
        <v>0.0</v>
      </c>
      <c r="M1234"/>
      <c r="N1234"/>
      <c r="O1234">
        <v>1.22</v>
      </c>
      <c r="P1234">
        <v>0.0</v>
      </c>
      <c r="Q1234">
        <v>8.0</v>
      </c>
      <c r="R1234"/>
      <c r="S1234"/>
      <c r="T1234"/>
      <c r="U1234"/>
      <c r="V1234"/>
      <c r="W1234">
        <v>18</v>
      </c>
    </row>
    <row r="1235" spans="1:23">
      <c r="A1235"/>
      <c r="B1235" t="s">
        <v>133</v>
      </c>
      <c r="C1235" t="s">
        <v>133</v>
      </c>
      <c r="D1235" t="s">
        <v>40</v>
      </c>
      <c r="E1235"/>
      <c r="F1235" t="str">
        <f>""</f>
        <v/>
      </c>
      <c r="G1235">
        <v>6</v>
      </c>
      <c r="H1235" t="str">
        <f>"20602451454"</f>
        <v>20602451454</v>
      </c>
      <c r="I1235" t="s">
        <v>134</v>
      </c>
      <c r="J1235"/>
      <c r="K1235">
        <v>10.17</v>
      </c>
      <c r="L1235">
        <v>0.0</v>
      </c>
      <c r="M1235"/>
      <c r="N1235"/>
      <c r="O1235">
        <v>1.83</v>
      </c>
      <c r="P1235">
        <v>0.0</v>
      </c>
      <c r="Q1235">
        <v>12.0</v>
      </c>
      <c r="R1235"/>
      <c r="S1235"/>
      <c r="T1235"/>
      <c r="U1235"/>
      <c r="V1235"/>
      <c r="W1235">
        <v>18</v>
      </c>
    </row>
    <row r="1236" spans="1:23">
      <c r="A1236"/>
      <c r="B1236" t="s">
        <v>133</v>
      </c>
      <c r="C1236" t="s">
        <v>133</v>
      </c>
      <c r="D1236" t="s">
        <v>33</v>
      </c>
      <c r="E1236" t="s">
        <v>34</v>
      </c>
      <c r="F1236" t="str">
        <f>"0014853"</f>
        <v>0014853</v>
      </c>
      <c r="G1236">
        <v>1</v>
      </c>
      <c r="H1236" t="str">
        <f>"00000001"</f>
        <v>00000001</v>
      </c>
      <c r="I1236" t="s">
        <v>35</v>
      </c>
      <c r="J1236"/>
      <c r="K1236">
        <v>32.54</v>
      </c>
      <c r="L1236">
        <v>0.0</v>
      </c>
      <c r="M1236"/>
      <c r="N1236"/>
      <c r="O1236">
        <v>5.86</v>
      </c>
      <c r="P1236">
        <v>0.0</v>
      </c>
      <c r="Q1236">
        <v>38.4</v>
      </c>
      <c r="R1236"/>
      <c r="S1236"/>
      <c r="T1236"/>
      <c r="U1236"/>
      <c r="V1236"/>
      <c r="W1236">
        <v>18</v>
      </c>
    </row>
    <row r="1237" spans="1:23">
      <c r="A1237"/>
      <c r="B1237" t="s">
        <v>133</v>
      </c>
      <c r="C1237" t="s">
        <v>133</v>
      </c>
      <c r="D1237" t="s">
        <v>33</v>
      </c>
      <c r="E1237" t="s">
        <v>34</v>
      </c>
      <c r="F1237" t="str">
        <f>"0014854"</f>
        <v>0014854</v>
      </c>
      <c r="G1237">
        <v>1</v>
      </c>
      <c r="H1237" t="str">
        <f>"00000001"</f>
        <v>00000001</v>
      </c>
      <c r="I1237" t="s">
        <v>35</v>
      </c>
      <c r="J1237"/>
      <c r="K1237">
        <v>22.03</v>
      </c>
      <c r="L1237">
        <v>0.0</v>
      </c>
      <c r="M1237"/>
      <c r="N1237"/>
      <c r="O1237">
        <v>3.97</v>
      </c>
      <c r="P1237">
        <v>0.0</v>
      </c>
      <c r="Q1237">
        <v>26.0</v>
      </c>
      <c r="R1237"/>
      <c r="S1237"/>
      <c r="T1237"/>
      <c r="U1237"/>
      <c r="V1237"/>
      <c r="W1237">
        <v>18</v>
      </c>
    </row>
    <row r="1238" spans="1:23">
      <c r="A1238"/>
      <c r="B1238" t="s">
        <v>133</v>
      </c>
      <c r="C1238" t="s">
        <v>133</v>
      </c>
      <c r="D1238" t="s">
        <v>33</v>
      </c>
      <c r="E1238" t="s">
        <v>34</v>
      </c>
      <c r="F1238" t="str">
        <f>"0014855"</f>
        <v>0014855</v>
      </c>
      <c r="G1238">
        <v>1</v>
      </c>
      <c r="H1238" t="str">
        <f>"00000001"</f>
        <v>00000001</v>
      </c>
      <c r="I1238" t="s">
        <v>35</v>
      </c>
      <c r="J1238"/>
      <c r="K1238">
        <v>30.51</v>
      </c>
      <c r="L1238">
        <v>0.0</v>
      </c>
      <c r="M1238"/>
      <c r="N1238"/>
      <c r="O1238">
        <v>5.49</v>
      </c>
      <c r="P1238">
        <v>0.0</v>
      </c>
      <c r="Q1238">
        <v>36.0</v>
      </c>
      <c r="R1238"/>
      <c r="S1238"/>
      <c r="T1238"/>
      <c r="U1238"/>
      <c r="V1238"/>
      <c r="W1238">
        <v>18</v>
      </c>
    </row>
    <row r="1239" spans="1:23">
      <c r="A1239"/>
      <c r="B1239" t="s">
        <v>133</v>
      </c>
      <c r="C1239" t="s">
        <v>133</v>
      </c>
      <c r="D1239" t="s">
        <v>33</v>
      </c>
      <c r="E1239" t="s">
        <v>34</v>
      </c>
      <c r="F1239" t="str">
        <f>"0014856"</f>
        <v>0014856</v>
      </c>
      <c r="G1239">
        <v>1</v>
      </c>
      <c r="H1239" t="str">
        <f>"00000001"</f>
        <v>00000001</v>
      </c>
      <c r="I1239" t="s">
        <v>35</v>
      </c>
      <c r="J1239"/>
      <c r="K1239">
        <v>11.86</v>
      </c>
      <c r="L1239">
        <v>0.0</v>
      </c>
      <c r="M1239"/>
      <c r="N1239"/>
      <c r="O1239">
        <v>2.14</v>
      </c>
      <c r="P1239">
        <v>0.0</v>
      </c>
      <c r="Q1239">
        <v>14.0</v>
      </c>
      <c r="R1239"/>
      <c r="S1239"/>
      <c r="T1239"/>
      <c r="U1239"/>
      <c r="V1239"/>
      <c r="W1239">
        <v>18</v>
      </c>
    </row>
    <row r="1240" spans="1:23">
      <c r="A1240"/>
      <c r="B1240" t="s">
        <v>133</v>
      </c>
      <c r="C1240" t="s">
        <v>133</v>
      </c>
      <c r="D1240" t="s">
        <v>33</v>
      </c>
      <c r="E1240" t="s">
        <v>34</v>
      </c>
      <c r="F1240" t="str">
        <f>"0014857"</f>
        <v>0014857</v>
      </c>
      <c r="G1240">
        <v>1</v>
      </c>
      <c r="H1240" t="str">
        <f>"00000001"</f>
        <v>00000001</v>
      </c>
      <c r="I1240" t="s">
        <v>35</v>
      </c>
      <c r="J1240"/>
      <c r="K1240">
        <v>13.56</v>
      </c>
      <c r="L1240">
        <v>0.0</v>
      </c>
      <c r="M1240"/>
      <c r="N1240"/>
      <c r="O1240">
        <v>2.44</v>
      </c>
      <c r="P1240">
        <v>0.0</v>
      </c>
      <c r="Q1240">
        <v>16.0</v>
      </c>
      <c r="R1240"/>
      <c r="S1240"/>
      <c r="T1240"/>
      <c r="U1240"/>
      <c r="V1240"/>
      <c r="W1240">
        <v>18</v>
      </c>
    </row>
    <row r="1241" spans="1:23">
      <c r="A1241"/>
      <c r="B1241" t="s">
        <v>133</v>
      </c>
      <c r="C1241" t="s">
        <v>133</v>
      </c>
      <c r="D1241" t="s">
        <v>33</v>
      </c>
      <c r="E1241" t="s">
        <v>34</v>
      </c>
      <c r="F1241" t="str">
        <f>"0014858"</f>
        <v>0014858</v>
      </c>
      <c r="G1241">
        <v>1</v>
      </c>
      <c r="H1241" t="str">
        <f>"00000001"</f>
        <v>00000001</v>
      </c>
      <c r="I1241" t="s">
        <v>35</v>
      </c>
      <c r="J1241"/>
      <c r="K1241">
        <v>44.07</v>
      </c>
      <c r="L1241">
        <v>0.0</v>
      </c>
      <c r="M1241"/>
      <c r="N1241"/>
      <c r="O1241">
        <v>7.93</v>
      </c>
      <c r="P1241">
        <v>0.0</v>
      </c>
      <c r="Q1241">
        <v>52.0</v>
      </c>
      <c r="R1241"/>
      <c r="S1241"/>
      <c r="T1241"/>
      <c r="U1241"/>
      <c r="V1241"/>
      <c r="W1241">
        <v>18</v>
      </c>
    </row>
    <row r="1242" spans="1:23">
      <c r="A1242"/>
      <c r="B1242" t="s">
        <v>133</v>
      </c>
      <c r="C1242" t="s">
        <v>133</v>
      </c>
      <c r="D1242" t="s">
        <v>33</v>
      </c>
      <c r="E1242" t="s">
        <v>34</v>
      </c>
      <c r="F1242" t="str">
        <f>"0014859"</f>
        <v>0014859</v>
      </c>
      <c r="G1242">
        <v>1</v>
      </c>
      <c r="H1242" t="str">
        <f>"00000001"</f>
        <v>00000001</v>
      </c>
      <c r="I1242" t="s">
        <v>35</v>
      </c>
      <c r="J1242"/>
      <c r="K1242">
        <v>6.78</v>
      </c>
      <c r="L1242">
        <v>0.0</v>
      </c>
      <c r="M1242"/>
      <c r="N1242"/>
      <c r="O1242">
        <v>1.22</v>
      </c>
      <c r="P1242">
        <v>0.0</v>
      </c>
      <c r="Q1242">
        <v>8.0</v>
      </c>
      <c r="R1242"/>
      <c r="S1242"/>
      <c r="T1242"/>
      <c r="U1242"/>
      <c r="V1242"/>
      <c r="W1242">
        <v>18</v>
      </c>
    </row>
    <row r="1243" spans="1:23">
      <c r="A1243"/>
      <c r="B1243" t="s">
        <v>133</v>
      </c>
      <c r="C1243" t="s">
        <v>133</v>
      </c>
      <c r="D1243" t="s">
        <v>33</v>
      </c>
      <c r="E1243" t="s">
        <v>34</v>
      </c>
      <c r="F1243" t="str">
        <f>"0014860"</f>
        <v>0014860</v>
      </c>
      <c r="G1243">
        <v>1</v>
      </c>
      <c r="H1243" t="str">
        <f>"00000001"</f>
        <v>00000001</v>
      </c>
      <c r="I1243" t="s">
        <v>35</v>
      </c>
      <c r="J1243"/>
      <c r="K1243">
        <v>16.95</v>
      </c>
      <c r="L1243">
        <v>0.0</v>
      </c>
      <c r="M1243"/>
      <c r="N1243"/>
      <c r="O1243">
        <v>3.05</v>
      </c>
      <c r="P1243">
        <v>0.0</v>
      </c>
      <c r="Q1243">
        <v>20.0</v>
      </c>
      <c r="R1243"/>
      <c r="S1243"/>
      <c r="T1243"/>
      <c r="U1243"/>
      <c r="V1243"/>
      <c r="W1243">
        <v>18</v>
      </c>
    </row>
    <row r="1244" spans="1:23">
      <c r="A1244"/>
      <c r="B1244" t="s">
        <v>133</v>
      </c>
      <c r="C1244" t="s">
        <v>133</v>
      </c>
      <c r="D1244" t="s">
        <v>33</v>
      </c>
      <c r="E1244" t="s">
        <v>34</v>
      </c>
      <c r="F1244" t="str">
        <f>"0014861"</f>
        <v>0014861</v>
      </c>
      <c r="G1244">
        <v>1</v>
      </c>
      <c r="H1244" t="str">
        <f>"00000001"</f>
        <v>00000001</v>
      </c>
      <c r="I1244" t="s">
        <v>35</v>
      </c>
      <c r="J1244"/>
      <c r="K1244">
        <v>42.37</v>
      </c>
      <c r="L1244">
        <v>0.0</v>
      </c>
      <c r="M1244"/>
      <c r="N1244"/>
      <c r="O1244">
        <v>7.63</v>
      </c>
      <c r="P1244">
        <v>0.0</v>
      </c>
      <c r="Q1244">
        <v>50.0</v>
      </c>
      <c r="R1244"/>
      <c r="S1244"/>
      <c r="T1244"/>
      <c r="U1244"/>
      <c r="V1244"/>
      <c r="W1244">
        <v>18</v>
      </c>
    </row>
    <row r="1245" spans="1:23">
      <c r="A1245"/>
      <c r="B1245" t="s">
        <v>133</v>
      </c>
      <c r="C1245" t="s">
        <v>133</v>
      </c>
      <c r="D1245" t="s">
        <v>33</v>
      </c>
      <c r="E1245" t="s">
        <v>34</v>
      </c>
      <c r="F1245" t="str">
        <f>"0014862"</f>
        <v>0014862</v>
      </c>
      <c r="G1245">
        <v>1</v>
      </c>
      <c r="H1245" t="str">
        <f>"00000001"</f>
        <v>00000001</v>
      </c>
      <c r="I1245" t="s">
        <v>35</v>
      </c>
      <c r="J1245"/>
      <c r="K1245">
        <v>50.85</v>
      </c>
      <c r="L1245">
        <v>0.0</v>
      </c>
      <c r="M1245"/>
      <c r="N1245"/>
      <c r="O1245">
        <v>9.15</v>
      </c>
      <c r="P1245">
        <v>0.0</v>
      </c>
      <c r="Q1245">
        <v>60.0</v>
      </c>
      <c r="R1245"/>
      <c r="S1245"/>
      <c r="T1245"/>
      <c r="U1245"/>
      <c r="V1245"/>
      <c r="W1245">
        <v>18</v>
      </c>
    </row>
    <row r="1246" spans="1:23">
      <c r="A1246"/>
      <c r="B1246" t="s">
        <v>133</v>
      </c>
      <c r="C1246" t="s">
        <v>133</v>
      </c>
      <c r="D1246" t="s">
        <v>33</v>
      </c>
      <c r="E1246" t="s">
        <v>34</v>
      </c>
      <c r="F1246" t="str">
        <f>"0014863"</f>
        <v>0014863</v>
      </c>
      <c r="G1246">
        <v>1</v>
      </c>
      <c r="H1246" t="str">
        <f>"00000001"</f>
        <v>00000001</v>
      </c>
      <c r="I1246" t="s">
        <v>35</v>
      </c>
      <c r="J1246"/>
      <c r="K1246">
        <v>10.17</v>
      </c>
      <c r="L1246">
        <v>0.0</v>
      </c>
      <c r="M1246"/>
      <c r="N1246"/>
      <c r="O1246">
        <v>1.83</v>
      </c>
      <c r="P1246">
        <v>0.0</v>
      </c>
      <c r="Q1246">
        <v>12.0</v>
      </c>
      <c r="R1246"/>
      <c r="S1246"/>
      <c r="T1246"/>
      <c r="U1246"/>
      <c r="V1246"/>
      <c r="W1246">
        <v>18</v>
      </c>
    </row>
    <row r="1247" spans="1:23">
      <c r="A1247"/>
      <c r="B1247" t="s">
        <v>133</v>
      </c>
      <c r="C1247" t="s">
        <v>133</v>
      </c>
      <c r="D1247" t="s">
        <v>33</v>
      </c>
      <c r="E1247" t="s">
        <v>34</v>
      </c>
      <c r="F1247" t="str">
        <f>"0014864"</f>
        <v>0014864</v>
      </c>
      <c r="G1247">
        <v>1</v>
      </c>
      <c r="H1247" t="str">
        <f>"00000001"</f>
        <v>00000001</v>
      </c>
      <c r="I1247" t="s">
        <v>35</v>
      </c>
      <c r="J1247"/>
      <c r="K1247">
        <v>18.64</v>
      </c>
      <c r="L1247">
        <v>0.0</v>
      </c>
      <c r="M1247"/>
      <c r="N1247"/>
      <c r="O1247">
        <v>3.36</v>
      </c>
      <c r="P1247">
        <v>0.0</v>
      </c>
      <c r="Q1247">
        <v>22.0</v>
      </c>
      <c r="R1247"/>
      <c r="S1247"/>
      <c r="T1247"/>
      <c r="U1247"/>
      <c r="V1247"/>
      <c r="W1247">
        <v>18</v>
      </c>
    </row>
    <row r="1248" spans="1:23">
      <c r="A1248"/>
      <c r="B1248" t="s">
        <v>133</v>
      </c>
      <c r="C1248" t="s">
        <v>133</v>
      </c>
      <c r="D1248" t="s">
        <v>33</v>
      </c>
      <c r="E1248" t="s">
        <v>34</v>
      </c>
      <c r="F1248" t="str">
        <f>"0014865"</f>
        <v>0014865</v>
      </c>
      <c r="G1248">
        <v>1</v>
      </c>
      <c r="H1248" t="str">
        <f>"00000001"</f>
        <v>00000001</v>
      </c>
      <c r="I1248" t="s">
        <v>35</v>
      </c>
      <c r="J1248"/>
      <c r="K1248">
        <v>16.95</v>
      </c>
      <c r="L1248">
        <v>0.0</v>
      </c>
      <c r="M1248"/>
      <c r="N1248"/>
      <c r="O1248">
        <v>3.05</v>
      </c>
      <c r="P1248">
        <v>0.0</v>
      </c>
      <c r="Q1248">
        <v>20.0</v>
      </c>
      <c r="R1248"/>
      <c r="S1248"/>
      <c r="T1248"/>
      <c r="U1248"/>
      <c r="V1248"/>
      <c r="W1248">
        <v>18</v>
      </c>
    </row>
    <row r="1249" spans="1:23">
      <c r="A1249"/>
      <c r="B1249" t="s">
        <v>133</v>
      </c>
      <c r="C1249" t="s">
        <v>133</v>
      </c>
      <c r="D1249" t="s">
        <v>33</v>
      </c>
      <c r="E1249" t="s">
        <v>34</v>
      </c>
      <c r="F1249" t="str">
        <f>"0014866"</f>
        <v>0014866</v>
      </c>
      <c r="G1249">
        <v>1</v>
      </c>
      <c r="H1249" t="str">
        <f>"00000001"</f>
        <v>00000001</v>
      </c>
      <c r="I1249" t="s">
        <v>35</v>
      </c>
      <c r="J1249"/>
      <c r="K1249">
        <v>13.56</v>
      </c>
      <c r="L1249">
        <v>0.0</v>
      </c>
      <c r="M1249"/>
      <c r="N1249"/>
      <c r="O1249">
        <v>2.44</v>
      </c>
      <c r="P1249">
        <v>0.0</v>
      </c>
      <c r="Q1249">
        <v>16.0</v>
      </c>
      <c r="R1249"/>
      <c r="S1249"/>
      <c r="T1249"/>
      <c r="U1249"/>
      <c r="V1249"/>
      <c r="W1249">
        <v>18</v>
      </c>
    </row>
    <row r="1250" spans="1:23">
      <c r="A1250"/>
      <c r="B1250" t="s">
        <v>133</v>
      </c>
      <c r="C1250" t="s">
        <v>133</v>
      </c>
      <c r="D1250" t="s">
        <v>33</v>
      </c>
      <c r="E1250" t="s">
        <v>34</v>
      </c>
      <c r="F1250" t="str">
        <f>"0014867"</f>
        <v>0014867</v>
      </c>
      <c r="G1250">
        <v>1</v>
      </c>
      <c r="H1250" t="str">
        <f>"00000001"</f>
        <v>00000001</v>
      </c>
      <c r="I1250" t="s">
        <v>35</v>
      </c>
      <c r="J1250"/>
      <c r="K1250">
        <v>2.54</v>
      </c>
      <c r="L1250">
        <v>0.0</v>
      </c>
      <c r="M1250"/>
      <c r="N1250"/>
      <c r="O1250">
        <v>0.46</v>
      </c>
      <c r="P1250">
        <v>0.0</v>
      </c>
      <c r="Q1250">
        <v>3.0</v>
      </c>
      <c r="R1250"/>
      <c r="S1250"/>
      <c r="T1250"/>
      <c r="U1250"/>
      <c r="V1250"/>
      <c r="W1250">
        <v>18</v>
      </c>
    </row>
    <row r="1251" spans="1:23">
      <c r="A1251"/>
      <c r="B1251" t="s">
        <v>133</v>
      </c>
      <c r="C1251" t="s">
        <v>133</v>
      </c>
      <c r="D1251" t="s">
        <v>33</v>
      </c>
      <c r="E1251" t="s">
        <v>34</v>
      </c>
      <c r="F1251" t="str">
        <f>"0014868"</f>
        <v>0014868</v>
      </c>
      <c r="G1251">
        <v>1</v>
      </c>
      <c r="H1251" t="str">
        <f>"00000001"</f>
        <v>00000001</v>
      </c>
      <c r="I1251" t="s">
        <v>35</v>
      </c>
      <c r="J1251"/>
      <c r="K1251">
        <v>1.53</v>
      </c>
      <c r="L1251">
        <v>0.0</v>
      </c>
      <c r="M1251"/>
      <c r="N1251"/>
      <c r="O1251">
        <v>0.27</v>
      </c>
      <c r="P1251">
        <v>0.0</v>
      </c>
      <c r="Q1251">
        <v>1.8</v>
      </c>
      <c r="R1251"/>
      <c r="S1251"/>
      <c r="T1251"/>
      <c r="U1251"/>
      <c r="V1251"/>
      <c r="W1251">
        <v>18</v>
      </c>
    </row>
    <row r="1252" spans="1:23">
      <c r="A1252"/>
      <c r="B1252" t="s">
        <v>133</v>
      </c>
      <c r="C1252" t="s">
        <v>133</v>
      </c>
      <c r="D1252" t="s">
        <v>33</v>
      </c>
      <c r="E1252" t="s">
        <v>34</v>
      </c>
      <c r="F1252" t="str">
        <f>"0014869"</f>
        <v>0014869</v>
      </c>
      <c r="G1252">
        <v>1</v>
      </c>
      <c r="H1252" t="str">
        <f>"00000001"</f>
        <v>00000001</v>
      </c>
      <c r="I1252" t="s">
        <v>35</v>
      </c>
      <c r="J1252"/>
      <c r="K1252">
        <v>4.24</v>
      </c>
      <c r="L1252">
        <v>0.0</v>
      </c>
      <c r="M1252"/>
      <c r="N1252"/>
      <c r="O1252">
        <v>0.76</v>
      </c>
      <c r="P1252">
        <v>0.0</v>
      </c>
      <c r="Q1252">
        <v>5.0</v>
      </c>
      <c r="R1252"/>
      <c r="S1252"/>
      <c r="T1252"/>
      <c r="U1252"/>
      <c r="V1252"/>
      <c r="W1252">
        <v>18</v>
      </c>
    </row>
    <row r="1253" spans="1:23">
      <c r="A1253"/>
      <c r="B1253" t="s">
        <v>133</v>
      </c>
      <c r="C1253" t="s">
        <v>133</v>
      </c>
      <c r="D1253" t="s">
        <v>33</v>
      </c>
      <c r="E1253" t="s">
        <v>34</v>
      </c>
      <c r="F1253" t="str">
        <f>"0014870"</f>
        <v>0014870</v>
      </c>
      <c r="G1253">
        <v>1</v>
      </c>
      <c r="H1253" t="str">
        <f>"00082661"</f>
        <v>00082661</v>
      </c>
      <c r="I1253" t="s">
        <v>132</v>
      </c>
      <c r="J1253"/>
      <c r="K1253">
        <v>82.71</v>
      </c>
      <c r="L1253">
        <v>0.0</v>
      </c>
      <c r="M1253"/>
      <c r="N1253"/>
      <c r="O1253">
        <v>14.89</v>
      </c>
      <c r="P1253">
        <v>0.0</v>
      </c>
      <c r="Q1253">
        <v>97.6</v>
      </c>
      <c r="R1253"/>
      <c r="S1253"/>
      <c r="T1253"/>
      <c r="U1253"/>
      <c r="V1253"/>
      <c r="W1253">
        <v>18</v>
      </c>
    </row>
    <row r="1254" spans="1:23">
      <c r="A1254"/>
      <c r="B1254" t="s">
        <v>135</v>
      </c>
      <c r="C1254" t="s">
        <v>135</v>
      </c>
      <c r="D1254" t="s">
        <v>33</v>
      </c>
      <c r="E1254" t="s">
        <v>34</v>
      </c>
      <c r="F1254" t="str">
        <f>"0014871"</f>
        <v>0014871</v>
      </c>
      <c r="G1254">
        <v>1</v>
      </c>
      <c r="H1254" t="str">
        <f>"00000001"</f>
        <v>00000001</v>
      </c>
      <c r="I1254" t="s">
        <v>35</v>
      </c>
      <c r="J1254"/>
      <c r="K1254">
        <v>40.68</v>
      </c>
      <c r="L1254">
        <v>0.0</v>
      </c>
      <c r="M1254"/>
      <c r="N1254"/>
      <c r="O1254">
        <v>7.32</v>
      </c>
      <c r="P1254">
        <v>0.0</v>
      </c>
      <c r="Q1254">
        <v>48.0</v>
      </c>
      <c r="R1254"/>
      <c r="S1254"/>
      <c r="T1254"/>
      <c r="U1254"/>
      <c r="V1254"/>
      <c r="W1254">
        <v>18</v>
      </c>
    </row>
    <row r="1255" spans="1:23">
      <c r="A1255"/>
      <c r="B1255" t="s">
        <v>135</v>
      </c>
      <c r="C1255" t="s">
        <v>135</v>
      </c>
      <c r="D1255" t="s">
        <v>33</v>
      </c>
      <c r="E1255" t="s">
        <v>34</v>
      </c>
      <c r="F1255" t="str">
        <f>"0014872"</f>
        <v>0014872</v>
      </c>
      <c r="G1255">
        <v>1</v>
      </c>
      <c r="H1255" t="str">
        <f>"47141614"</f>
        <v>47141614</v>
      </c>
      <c r="I1255" t="s">
        <v>136</v>
      </c>
      <c r="J1255"/>
      <c r="K1255">
        <v>30.08</v>
      </c>
      <c r="L1255">
        <v>0.0</v>
      </c>
      <c r="M1255"/>
      <c r="N1255"/>
      <c r="O1255">
        <v>5.42</v>
      </c>
      <c r="P1255">
        <v>0.0</v>
      </c>
      <c r="Q1255">
        <v>35.5</v>
      </c>
      <c r="R1255"/>
      <c r="S1255"/>
      <c r="T1255"/>
      <c r="U1255"/>
      <c r="V1255"/>
      <c r="W1255">
        <v>18</v>
      </c>
    </row>
    <row r="1256" spans="1:23">
      <c r="A1256"/>
      <c r="B1256" t="s">
        <v>135</v>
      </c>
      <c r="C1256" t="s">
        <v>135</v>
      </c>
      <c r="D1256" t="s">
        <v>33</v>
      </c>
      <c r="E1256" t="s">
        <v>34</v>
      </c>
      <c r="F1256" t="str">
        <f>"0014873"</f>
        <v>0014873</v>
      </c>
      <c r="G1256">
        <v>1</v>
      </c>
      <c r="H1256" t="str">
        <f>"00000001"</f>
        <v>00000001</v>
      </c>
      <c r="I1256" t="s">
        <v>35</v>
      </c>
      <c r="J1256"/>
      <c r="K1256">
        <v>16.95</v>
      </c>
      <c r="L1256">
        <v>0.0</v>
      </c>
      <c r="M1256"/>
      <c r="N1256"/>
      <c r="O1256">
        <v>3.05</v>
      </c>
      <c r="P1256">
        <v>0.0</v>
      </c>
      <c r="Q1256">
        <v>20.0</v>
      </c>
      <c r="R1256"/>
      <c r="S1256"/>
      <c r="T1256"/>
      <c r="U1256"/>
      <c r="V1256"/>
      <c r="W1256">
        <v>18</v>
      </c>
    </row>
    <row r="1257" spans="1:23">
      <c r="A1257"/>
      <c r="B1257" t="s">
        <v>135</v>
      </c>
      <c r="C1257" t="s">
        <v>135</v>
      </c>
      <c r="D1257" t="s">
        <v>33</v>
      </c>
      <c r="E1257" t="s">
        <v>34</v>
      </c>
      <c r="F1257" t="str">
        <f>"0014874"</f>
        <v>0014874</v>
      </c>
      <c r="G1257">
        <v>1</v>
      </c>
      <c r="H1257" t="str">
        <f>"00000001"</f>
        <v>00000001</v>
      </c>
      <c r="I1257" t="s">
        <v>35</v>
      </c>
      <c r="J1257"/>
      <c r="K1257">
        <v>8.47</v>
      </c>
      <c r="L1257">
        <v>0.0</v>
      </c>
      <c r="M1257"/>
      <c r="N1257"/>
      <c r="O1257">
        <v>1.53</v>
      </c>
      <c r="P1257">
        <v>0.0</v>
      </c>
      <c r="Q1257">
        <v>10.0</v>
      </c>
      <c r="R1257"/>
      <c r="S1257"/>
      <c r="T1257"/>
      <c r="U1257"/>
      <c r="V1257"/>
      <c r="W1257">
        <v>18</v>
      </c>
    </row>
    <row r="1258" spans="1:23">
      <c r="A1258"/>
      <c r="B1258" t="s">
        <v>135</v>
      </c>
      <c r="C1258" t="s">
        <v>135</v>
      </c>
      <c r="D1258" t="s">
        <v>33</v>
      </c>
      <c r="E1258" t="s">
        <v>34</v>
      </c>
      <c r="F1258" t="str">
        <f>"0014875"</f>
        <v>0014875</v>
      </c>
      <c r="G1258">
        <v>1</v>
      </c>
      <c r="H1258" t="str">
        <f>"00000001"</f>
        <v>00000001</v>
      </c>
      <c r="I1258" t="s">
        <v>35</v>
      </c>
      <c r="J1258"/>
      <c r="K1258">
        <v>45.76</v>
      </c>
      <c r="L1258">
        <v>0.0</v>
      </c>
      <c r="M1258"/>
      <c r="N1258"/>
      <c r="O1258">
        <v>8.24</v>
      </c>
      <c r="P1258">
        <v>0.0</v>
      </c>
      <c r="Q1258">
        <v>54.0</v>
      </c>
      <c r="R1258"/>
      <c r="S1258"/>
      <c r="T1258"/>
      <c r="U1258"/>
      <c r="V1258"/>
      <c r="W1258">
        <v>18</v>
      </c>
    </row>
    <row r="1259" spans="1:23">
      <c r="A1259"/>
      <c r="B1259" t="s">
        <v>135</v>
      </c>
      <c r="C1259" t="s">
        <v>135</v>
      </c>
      <c r="D1259" t="s">
        <v>33</v>
      </c>
      <c r="E1259" t="s">
        <v>34</v>
      </c>
      <c r="F1259" t="str">
        <f>"0014876"</f>
        <v>0014876</v>
      </c>
      <c r="G1259">
        <v>1</v>
      </c>
      <c r="H1259" t="str">
        <f>"00000001"</f>
        <v>00000001</v>
      </c>
      <c r="I1259" t="s">
        <v>35</v>
      </c>
      <c r="J1259"/>
      <c r="K1259">
        <v>12.71</v>
      </c>
      <c r="L1259">
        <v>0.0</v>
      </c>
      <c r="M1259"/>
      <c r="N1259"/>
      <c r="O1259">
        <v>2.29</v>
      </c>
      <c r="P1259">
        <v>0.0</v>
      </c>
      <c r="Q1259">
        <v>15.0</v>
      </c>
      <c r="R1259"/>
      <c r="S1259"/>
      <c r="T1259"/>
      <c r="U1259"/>
      <c r="V1259"/>
      <c r="W1259">
        <v>18</v>
      </c>
    </row>
    <row r="1260" spans="1:23">
      <c r="A1260"/>
      <c r="B1260" t="s">
        <v>135</v>
      </c>
      <c r="C1260" t="s">
        <v>135</v>
      </c>
      <c r="D1260" t="s">
        <v>33</v>
      </c>
      <c r="E1260" t="s">
        <v>34</v>
      </c>
      <c r="F1260" t="str">
        <f>"0014877"</f>
        <v>0014877</v>
      </c>
      <c r="G1260">
        <v>1</v>
      </c>
      <c r="H1260" t="str">
        <f>"00000001"</f>
        <v>00000001</v>
      </c>
      <c r="I1260" t="s">
        <v>35</v>
      </c>
      <c r="J1260"/>
      <c r="K1260">
        <v>12.71</v>
      </c>
      <c r="L1260">
        <v>0.0</v>
      </c>
      <c r="M1260"/>
      <c r="N1260"/>
      <c r="O1260">
        <v>2.29</v>
      </c>
      <c r="P1260">
        <v>0.0</v>
      </c>
      <c r="Q1260">
        <v>15.0</v>
      </c>
      <c r="R1260"/>
      <c r="S1260"/>
      <c r="T1260"/>
      <c r="U1260"/>
      <c r="V1260"/>
      <c r="W1260">
        <v>18</v>
      </c>
    </row>
    <row r="1261" spans="1:23">
      <c r="A1261"/>
      <c r="B1261" t="s">
        <v>135</v>
      </c>
      <c r="C1261" t="s">
        <v>135</v>
      </c>
      <c r="D1261" t="s">
        <v>33</v>
      </c>
      <c r="E1261" t="s">
        <v>34</v>
      </c>
      <c r="F1261" t="str">
        <f>"0014878"</f>
        <v>0014878</v>
      </c>
      <c r="G1261">
        <v>1</v>
      </c>
      <c r="H1261" t="str">
        <f>"00000001"</f>
        <v>00000001</v>
      </c>
      <c r="I1261" t="s">
        <v>35</v>
      </c>
      <c r="J1261"/>
      <c r="K1261">
        <v>3.81</v>
      </c>
      <c r="L1261">
        <v>0.0</v>
      </c>
      <c r="M1261"/>
      <c r="N1261"/>
      <c r="O1261">
        <v>0.69</v>
      </c>
      <c r="P1261">
        <v>0.0</v>
      </c>
      <c r="Q1261">
        <v>4.5</v>
      </c>
      <c r="R1261"/>
      <c r="S1261"/>
      <c r="T1261"/>
      <c r="U1261"/>
      <c r="V1261"/>
      <c r="W1261">
        <v>18</v>
      </c>
    </row>
    <row r="1262" spans="1:23">
      <c r="A1262"/>
      <c r="B1262" t="s">
        <v>135</v>
      </c>
      <c r="C1262" t="s">
        <v>135</v>
      </c>
      <c r="D1262" t="s">
        <v>33</v>
      </c>
      <c r="E1262" t="s">
        <v>34</v>
      </c>
      <c r="F1262" t="str">
        <f>"0014879"</f>
        <v>0014879</v>
      </c>
      <c r="G1262">
        <v>1</v>
      </c>
      <c r="H1262" t="str">
        <f>"00000001"</f>
        <v>00000001</v>
      </c>
      <c r="I1262" t="s">
        <v>35</v>
      </c>
      <c r="J1262"/>
      <c r="K1262">
        <v>8.47</v>
      </c>
      <c r="L1262">
        <v>0.0</v>
      </c>
      <c r="M1262"/>
      <c r="N1262"/>
      <c r="O1262">
        <v>1.53</v>
      </c>
      <c r="P1262">
        <v>0.0</v>
      </c>
      <c r="Q1262">
        <v>10.0</v>
      </c>
      <c r="R1262"/>
      <c r="S1262"/>
      <c r="T1262"/>
      <c r="U1262"/>
      <c r="V1262"/>
      <c r="W1262">
        <v>18</v>
      </c>
    </row>
    <row r="1263" spans="1:23">
      <c r="A1263"/>
      <c r="B1263" t="s">
        <v>135</v>
      </c>
      <c r="C1263" t="s">
        <v>135</v>
      </c>
      <c r="D1263" t="s">
        <v>33</v>
      </c>
      <c r="E1263" t="s">
        <v>34</v>
      </c>
      <c r="F1263" t="str">
        <f>"0014880"</f>
        <v>0014880</v>
      </c>
      <c r="G1263">
        <v>1</v>
      </c>
      <c r="H1263" t="str">
        <f>"00000001"</f>
        <v>00000001</v>
      </c>
      <c r="I1263" t="s">
        <v>35</v>
      </c>
      <c r="J1263"/>
      <c r="K1263">
        <v>5.08</v>
      </c>
      <c r="L1263">
        <v>0.0</v>
      </c>
      <c r="M1263"/>
      <c r="N1263"/>
      <c r="O1263">
        <v>0.92</v>
      </c>
      <c r="P1263">
        <v>0.0</v>
      </c>
      <c r="Q1263">
        <v>6.0</v>
      </c>
      <c r="R1263"/>
      <c r="S1263"/>
      <c r="T1263"/>
      <c r="U1263"/>
      <c r="V1263"/>
      <c r="W1263">
        <v>18</v>
      </c>
    </row>
    <row r="1264" spans="1:23">
      <c r="A1264"/>
      <c r="B1264" t="s">
        <v>135</v>
      </c>
      <c r="C1264" t="s">
        <v>135</v>
      </c>
      <c r="D1264" t="s">
        <v>33</v>
      </c>
      <c r="E1264" t="s">
        <v>34</v>
      </c>
      <c r="F1264" t="str">
        <f>"0014881"</f>
        <v>0014881</v>
      </c>
      <c r="G1264">
        <v>1</v>
      </c>
      <c r="H1264" t="str">
        <f>"00000001"</f>
        <v>00000001</v>
      </c>
      <c r="I1264" t="s">
        <v>35</v>
      </c>
      <c r="J1264"/>
      <c r="K1264">
        <v>55.08</v>
      </c>
      <c r="L1264">
        <v>0.0</v>
      </c>
      <c r="M1264"/>
      <c r="N1264"/>
      <c r="O1264">
        <v>9.92</v>
      </c>
      <c r="P1264">
        <v>0.0</v>
      </c>
      <c r="Q1264">
        <v>65.0</v>
      </c>
      <c r="R1264"/>
      <c r="S1264"/>
      <c r="T1264"/>
      <c r="U1264"/>
      <c r="V1264"/>
      <c r="W1264">
        <v>18</v>
      </c>
    </row>
    <row r="1265" spans="1:23">
      <c r="A1265"/>
      <c r="B1265" t="s">
        <v>135</v>
      </c>
      <c r="C1265" t="s">
        <v>135</v>
      </c>
      <c r="D1265" t="s">
        <v>33</v>
      </c>
      <c r="E1265" t="s">
        <v>34</v>
      </c>
      <c r="F1265" t="str">
        <f>"0014882"</f>
        <v>0014882</v>
      </c>
      <c r="G1265">
        <v>1</v>
      </c>
      <c r="H1265" t="str">
        <f>"00000001"</f>
        <v>00000001</v>
      </c>
      <c r="I1265" t="s">
        <v>35</v>
      </c>
      <c r="J1265"/>
      <c r="K1265">
        <v>6.36</v>
      </c>
      <c r="L1265">
        <v>0.0</v>
      </c>
      <c r="M1265"/>
      <c r="N1265"/>
      <c r="O1265">
        <v>1.14</v>
      </c>
      <c r="P1265">
        <v>0.0</v>
      </c>
      <c r="Q1265">
        <v>7.5</v>
      </c>
      <c r="R1265"/>
      <c r="S1265"/>
      <c r="T1265"/>
      <c r="U1265"/>
      <c r="V1265"/>
      <c r="W1265">
        <v>18</v>
      </c>
    </row>
    <row r="1266" spans="1:23">
      <c r="A1266"/>
      <c r="B1266" t="s">
        <v>135</v>
      </c>
      <c r="C1266" t="s">
        <v>135</v>
      </c>
      <c r="D1266" t="s">
        <v>33</v>
      </c>
      <c r="E1266" t="s">
        <v>34</v>
      </c>
      <c r="F1266" t="str">
        <f>"0014883"</f>
        <v>0014883</v>
      </c>
      <c r="G1266">
        <v>1</v>
      </c>
      <c r="H1266" t="str">
        <f>"00000001"</f>
        <v>00000001</v>
      </c>
      <c r="I1266" t="s">
        <v>35</v>
      </c>
      <c r="J1266"/>
      <c r="K1266">
        <v>44.07</v>
      </c>
      <c r="L1266">
        <v>0.0</v>
      </c>
      <c r="M1266"/>
      <c r="N1266"/>
      <c r="O1266">
        <v>7.93</v>
      </c>
      <c r="P1266">
        <v>0.0</v>
      </c>
      <c r="Q1266">
        <v>52.0</v>
      </c>
      <c r="R1266"/>
      <c r="S1266"/>
      <c r="T1266"/>
      <c r="U1266"/>
      <c r="V1266"/>
      <c r="W1266">
        <v>18</v>
      </c>
    </row>
    <row r="1267" spans="1:23">
      <c r="A1267"/>
      <c r="B1267" t="s">
        <v>135</v>
      </c>
      <c r="C1267" t="s">
        <v>135</v>
      </c>
      <c r="D1267" t="s">
        <v>33</v>
      </c>
      <c r="E1267" t="s">
        <v>34</v>
      </c>
      <c r="F1267" t="str">
        <f>"0014884"</f>
        <v>0014884</v>
      </c>
      <c r="G1267">
        <v>1</v>
      </c>
      <c r="H1267" t="str">
        <f>"00000001"</f>
        <v>00000001</v>
      </c>
      <c r="I1267" t="s">
        <v>35</v>
      </c>
      <c r="J1267"/>
      <c r="K1267">
        <v>29.66</v>
      </c>
      <c r="L1267">
        <v>0.0</v>
      </c>
      <c r="M1267"/>
      <c r="N1267"/>
      <c r="O1267">
        <v>5.34</v>
      </c>
      <c r="P1267">
        <v>0.0</v>
      </c>
      <c r="Q1267">
        <v>35.0</v>
      </c>
      <c r="R1267"/>
      <c r="S1267"/>
      <c r="T1267"/>
      <c r="U1267"/>
      <c r="V1267"/>
      <c r="W1267">
        <v>18</v>
      </c>
    </row>
    <row r="1268" spans="1:23">
      <c r="A1268"/>
      <c r="B1268" t="s">
        <v>135</v>
      </c>
      <c r="C1268" t="s">
        <v>135</v>
      </c>
      <c r="D1268" t="s">
        <v>33</v>
      </c>
      <c r="E1268" t="s">
        <v>34</v>
      </c>
      <c r="F1268" t="str">
        <f>"0014885"</f>
        <v>0014885</v>
      </c>
      <c r="G1268">
        <v>1</v>
      </c>
      <c r="H1268" t="str">
        <f>"00000001"</f>
        <v>00000001</v>
      </c>
      <c r="I1268" t="s">
        <v>35</v>
      </c>
      <c r="J1268"/>
      <c r="K1268">
        <v>5.93</v>
      </c>
      <c r="L1268">
        <v>0.0</v>
      </c>
      <c r="M1268"/>
      <c r="N1268"/>
      <c r="O1268">
        <v>1.07</v>
      </c>
      <c r="P1268">
        <v>0.0</v>
      </c>
      <c r="Q1268">
        <v>7.0</v>
      </c>
      <c r="R1268"/>
      <c r="S1268"/>
      <c r="T1268"/>
      <c r="U1268"/>
      <c r="V1268"/>
      <c r="W1268">
        <v>18</v>
      </c>
    </row>
    <row r="1269" spans="1:23">
      <c r="A1269"/>
      <c r="B1269" t="s">
        <v>135</v>
      </c>
      <c r="C1269" t="s">
        <v>135</v>
      </c>
      <c r="D1269" t="s">
        <v>33</v>
      </c>
      <c r="E1269" t="s">
        <v>34</v>
      </c>
      <c r="F1269" t="str">
        <f>"0014886"</f>
        <v>0014886</v>
      </c>
      <c r="G1269">
        <v>1</v>
      </c>
      <c r="H1269" t="str">
        <f>"00000001"</f>
        <v>00000001</v>
      </c>
      <c r="I1269" t="s">
        <v>35</v>
      </c>
      <c r="J1269"/>
      <c r="K1269">
        <v>5.08</v>
      </c>
      <c r="L1269">
        <v>0.0</v>
      </c>
      <c r="M1269"/>
      <c r="N1269"/>
      <c r="O1269">
        <v>0.92</v>
      </c>
      <c r="P1269">
        <v>0.0</v>
      </c>
      <c r="Q1269">
        <v>6.0</v>
      </c>
      <c r="R1269"/>
      <c r="S1269"/>
      <c r="T1269"/>
      <c r="U1269"/>
      <c r="V1269"/>
      <c r="W1269">
        <v>18</v>
      </c>
    </row>
    <row r="1270" spans="1:23">
      <c r="A1270"/>
      <c r="B1270" t="s">
        <v>135</v>
      </c>
      <c r="C1270" t="s">
        <v>135</v>
      </c>
      <c r="D1270" t="s">
        <v>33</v>
      </c>
      <c r="E1270" t="s">
        <v>34</v>
      </c>
      <c r="F1270" t="str">
        <f>"0014887"</f>
        <v>0014887</v>
      </c>
      <c r="G1270">
        <v>1</v>
      </c>
      <c r="H1270" t="str">
        <f>"00000001"</f>
        <v>00000001</v>
      </c>
      <c r="I1270" t="s">
        <v>35</v>
      </c>
      <c r="J1270"/>
      <c r="K1270">
        <v>24.58</v>
      </c>
      <c r="L1270">
        <v>0.0</v>
      </c>
      <c r="M1270"/>
      <c r="N1270"/>
      <c r="O1270">
        <v>4.42</v>
      </c>
      <c r="P1270">
        <v>0.0</v>
      </c>
      <c r="Q1270">
        <v>29.0</v>
      </c>
      <c r="R1270"/>
      <c r="S1270"/>
      <c r="T1270"/>
      <c r="U1270"/>
      <c r="V1270"/>
      <c r="W1270">
        <v>18</v>
      </c>
    </row>
    <row r="1271" spans="1:23">
      <c r="A1271"/>
      <c r="B1271" t="s">
        <v>135</v>
      </c>
      <c r="C1271" t="s">
        <v>135</v>
      </c>
      <c r="D1271" t="s">
        <v>33</v>
      </c>
      <c r="E1271" t="s">
        <v>34</v>
      </c>
      <c r="F1271" t="str">
        <f>"0014888"</f>
        <v>0014888</v>
      </c>
      <c r="G1271">
        <v>1</v>
      </c>
      <c r="H1271" t="str">
        <f>"00000001"</f>
        <v>00000001</v>
      </c>
      <c r="I1271" t="s">
        <v>35</v>
      </c>
      <c r="J1271"/>
      <c r="K1271">
        <v>15.25</v>
      </c>
      <c r="L1271">
        <v>0.0</v>
      </c>
      <c r="M1271"/>
      <c r="N1271"/>
      <c r="O1271">
        <v>2.75</v>
      </c>
      <c r="P1271">
        <v>0.0</v>
      </c>
      <c r="Q1271">
        <v>18.0</v>
      </c>
      <c r="R1271"/>
      <c r="S1271"/>
      <c r="T1271"/>
      <c r="U1271"/>
      <c r="V1271"/>
      <c r="W1271">
        <v>18</v>
      </c>
    </row>
    <row r="1272" spans="1:23">
      <c r="A1272"/>
      <c r="B1272" t="s">
        <v>135</v>
      </c>
      <c r="C1272" t="s">
        <v>135</v>
      </c>
      <c r="D1272" t="s">
        <v>33</v>
      </c>
      <c r="E1272" t="s">
        <v>34</v>
      </c>
      <c r="F1272" t="str">
        <f>"0014889"</f>
        <v>0014889</v>
      </c>
      <c r="G1272">
        <v>1</v>
      </c>
      <c r="H1272" t="str">
        <f>"00000001"</f>
        <v>00000001</v>
      </c>
      <c r="I1272" t="s">
        <v>35</v>
      </c>
      <c r="J1272"/>
      <c r="K1272">
        <v>18.64</v>
      </c>
      <c r="L1272">
        <v>0.0</v>
      </c>
      <c r="M1272"/>
      <c r="N1272"/>
      <c r="O1272">
        <v>3.36</v>
      </c>
      <c r="P1272">
        <v>0.0</v>
      </c>
      <c r="Q1272">
        <v>22.0</v>
      </c>
      <c r="R1272"/>
      <c r="S1272"/>
      <c r="T1272"/>
      <c r="U1272"/>
      <c r="V1272"/>
      <c r="W1272">
        <v>18</v>
      </c>
    </row>
    <row r="1273" spans="1:23">
      <c r="A1273"/>
      <c r="B1273" t="s">
        <v>135</v>
      </c>
      <c r="C1273" t="s">
        <v>135</v>
      </c>
      <c r="D1273" t="s">
        <v>33</v>
      </c>
      <c r="E1273" t="s">
        <v>34</v>
      </c>
      <c r="F1273" t="str">
        <f>"0014890"</f>
        <v>0014890</v>
      </c>
      <c r="G1273">
        <v>1</v>
      </c>
      <c r="H1273" t="str">
        <f>"00000001"</f>
        <v>00000001</v>
      </c>
      <c r="I1273" t="s">
        <v>35</v>
      </c>
      <c r="J1273"/>
      <c r="K1273">
        <v>43.64</v>
      </c>
      <c r="L1273">
        <v>0.0</v>
      </c>
      <c r="M1273"/>
      <c r="N1273"/>
      <c r="O1273">
        <v>7.86</v>
      </c>
      <c r="P1273">
        <v>0.0</v>
      </c>
      <c r="Q1273">
        <v>51.5</v>
      </c>
      <c r="R1273"/>
      <c r="S1273"/>
      <c r="T1273"/>
      <c r="U1273"/>
      <c r="V1273"/>
      <c r="W1273">
        <v>18</v>
      </c>
    </row>
    <row r="1274" spans="1:23">
      <c r="A1274"/>
      <c r="B1274" t="s">
        <v>135</v>
      </c>
      <c r="C1274" t="s">
        <v>135</v>
      </c>
      <c r="D1274" t="s">
        <v>33</v>
      </c>
      <c r="E1274" t="s">
        <v>34</v>
      </c>
      <c r="F1274" t="str">
        <f>"0014891"</f>
        <v>0014891</v>
      </c>
      <c r="G1274">
        <v>1</v>
      </c>
      <c r="H1274" t="str">
        <f>"00000001"</f>
        <v>00000001</v>
      </c>
      <c r="I1274" t="s">
        <v>35</v>
      </c>
      <c r="J1274"/>
      <c r="K1274">
        <v>4.24</v>
      </c>
      <c r="L1274">
        <v>0.0</v>
      </c>
      <c r="M1274"/>
      <c r="N1274"/>
      <c r="O1274">
        <v>0.76</v>
      </c>
      <c r="P1274">
        <v>0.0</v>
      </c>
      <c r="Q1274">
        <v>5.0</v>
      </c>
      <c r="R1274"/>
      <c r="S1274"/>
      <c r="T1274"/>
      <c r="U1274"/>
      <c r="V1274"/>
      <c r="W1274">
        <v>18</v>
      </c>
    </row>
    <row r="1275" spans="1:23">
      <c r="A1275"/>
      <c r="B1275" t="s">
        <v>135</v>
      </c>
      <c r="C1275" t="s">
        <v>135</v>
      </c>
      <c r="D1275" t="s">
        <v>33</v>
      </c>
      <c r="E1275" t="s">
        <v>34</v>
      </c>
      <c r="F1275" t="str">
        <f>"0014892"</f>
        <v>0014892</v>
      </c>
      <c r="G1275">
        <v>1</v>
      </c>
      <c r="H1275" t="str">
        <f>"0000PAMG"</f>
        <v>0000PAMG</v>
      </c>
      <c r="I1275" t="s">
        <v>137</v>
      </c>
      <c r="J1275"/>
      <c r="K1275">
        <v>37.29</v>
      </c>
      <c r="L1275">
        <v>0.0</v>
      </c>
      <c r="M1275"/>
      <c r="N1275"/>
      <c r="O1275">
        <v>6.71</v>
      </c>
      <c r="P1275">
        <v>0.0</v>
      </c>
      <c r="Q1275">
        <v>44.0</v>
      </c>
      <c r="R1275"/>
      <c r="S1275"/>
      <c r="T1275"/>
      <c r="U1275"/>
      <c r="V1275"/>
      <c r="W1275">
        <v>18</v>
      </c>
    </row>
    <row r="1276" spans="1:23">
      <c r="A1276"/>
      <c r="B1276" t="s">
        <v>135</v>
      </c>
      <c r="C1276" t="s">
        <v>135</v>
      </c>
      <c r="D1276" t="s">
        <v>33</v>
      </c>
      <c r="E1276" t="s">
        <v>34</v>
      </c>
      <c r="F1276" t="str">
        <f>"0014893"</f>
        <v>0014893</v>
      </c>
      <c r="G1276">
        <v>1</v>
      </c>
      <c r="H1276" t="str">
        <f>"00000001"</f>
        <v>00000001</v>
      </c>
      <c r="I1276" t="s">
        <v>35</v>
      </c>
      <c r="J1276"/>
      <c r="K1276">
        <v>46.61</v>
      </c>
      <c r="L1276">
        <v>0.0</v>
      </c>
      <c r="M1276"/>
      <c r="N1276"/>
      <c r="O1276">
        <v>8.39</v>
      </c>
      <c r="P1276">
        <v>0.0</v>
      </c>
      <c r="Q1276">
        <v>55.0</v>
      </c>
      <c r="R1276"/>
      <c r="S1276"/>
      <c r="T1276"/>
      <c r="U1276"/>
      <c r="V1276"/>
      <c r="W1276">
        <v>18</v>
      </c>
    </row>
    <row r="1277" spans="1:23">
      <c r="A1277"/>
      <c r="B1277" t="s">
        <v>135</v>
      </c>
      <c r="C1277" t="s">
        <v>135</v>
      </c>
      <c r="D1277" t="s">
        <v>33</v>
      </c>
      <c r="E1277" t="s">
        <v>34</v>
      </c>
      <c r="F1277" t="str">
        <f>"0014894"</f>
        <v>0014894</v>
      </c>
      <c r="G1277">
        <v>1</v>
      </c>
      <c r="H1277" t="str">
        <f>"00000001"</f>
        <v>00000001</v>
      </c>
      <c r="I1277" t="s">
        <v>35</v>
      </c>
      <c r="J1277"/>
      <c r="K1277">
        <v>12.71</v>
      </c>
      <c r="L1277">
        <v>0.0</v>
      </c>
      <c r="M1277"/>
      <c r="N1277"/>
      <c r="O1277">
        <v>2.29</v>
      </c>
      <c r="P1277">
        <v>0.0</v>
      </c>
      <c r="Q1277">
        <v>15.0</v>
      </c>
      <c r="R1277"/>
      <c r="S1277"/>
      <c r="T1277"/>
      <c r="U1277"/>
      <c r="V1277"/>
      <c r="W1277">
        <v>18</v>
      </c>
    </row>
    <row r="1278" spans="1:23">
      <c r="A1278"/>
      <c r="B1278" t="s">
        <v>135</v>
      </c>
      <c r="C1278" t="s">
        <v>135</v>
      </c>
      <c r="D1278" t="s">
        <v>33</v>
      </c>
      <c r="E1278" t="s">
        <v>34</v>
      </c>
      <c r="F1278" t="str">
        <f>"0014895"</f>
        <v>0014895</v>
      </c>
      <c r="G1278">
        <v>1</v>
      </c>
      <c r="H1278" t="str">
        <f>"00000001"</f>
        <v>00000001</v>
      </c>
      <c r="I1278" t="s">
        <v>35</v>
      </c>
      <c r="J1278"/>
      <c r="K1278">
        <v>4.24</v>
      </c>
      <c r="L1278">
        <v>0.0</v>
      </c>
      <c r="M1278"/>
      <c r="N1278"/>
      <c r="O1278">
        <v>0.76</v>
      </c>
      <c r="P1278">
        <v>0.0</v>
      </c>
      <c r="Q1278">
        <v>5.0</v>
      </c>
      <c r="R1278"/>
      <c r="S1278"/>
      <c r="T1278"/>
      <c r="U1278"/>
      <c r="V1278"/>
      <c r="W1278">
        <v>18</v>
      </c>
    </row>
    <row r="1279" spans="1:23">
      <c r="A1279"/>
      <c r="B1279" t="s">
        <v>135</v>
      </c>
      <c r="C1279" t="s">
        <v>135</v>
      </c>
      <c r="D1279" t="s">
        <v>33</v>
      </c>
      <c r="E1279" t="s">
        <v>34</v>
      </c>
      <c r="F1279" t="str">
        <f>"0014896"</f>
        <v>0014896</v>
      </c>
      <c r="G1279">
        <v>1</v>
      </c>
      <c r="H1279" t="str">
        <f>"00000001"</f>
        <v>00000001</v>
      </c>
      <c r="I1279" t="s">
        <v>35</v>
      </c>
      <c r="J1279"/>
      <c r="K1279">
        <v>8.47</v>
      </c>
      <c r="L1279">
        <v>0.0</v>
      </c>
      <c r="M1279"/>
      <c r="N1279"/>
      <c r="O1279">
        <v>1.53</v>
      </c>
      <c r="P1279">
        <v>0.0</v>
      </c>
      <c r="Q1279">
        <v>10.0</v>
      </c>
      <c r="R1279"/>
      <c r="S1279"/>
      <c r="T1279"/>
      <c r="U1279"/>
      <c r="V1279"/>
      <c r="W1279">
        <v>18</v>
      </c>
    </row>
    <row r="1280" spans="1:23">
      <c r="A1280"/>
      <c r="B1280" t="s">
        <v>135</v>
      </c>
      <c r="C1280" t="s">
        <v>135</v>
      </c>
      <c r="D1280" t="s">
        <v>33</v>
      </c>
      <c r="E1280" t="s">
        <v>34</v>
      </c>
      <c r="F1280" t="str">
        <f>"0014897"</f>
        <v>0014897</v>
      </c>
      <c r="G1280">
        <v>1</v>
      </c>
      <c r="H1280" t="str">
        <f>"00000001"</f>
        <v>00000001</v>
      </c>
      <c r="I1280" t="s">
        <v>35</v>
      </c>
      <c r="J1280"/>
      <c r="K1280">
        <v>6.78</v>
      </c>
      <c r="L1280">
        <v>0.0</v>
      </c>
      <c r="M1280"/>
      <c r="N1280"/>
      <c r="O1280">
        <v>1.22</v>
      </c>
      <c r="P1280">
        <v>0.0</v>
      </c>
      <c r="Q1280">
        <v>8.0</v>
      </c>
      <c r="R1280"/>
      <c r="S1280"/>
      <c r="T1280"/>
      <c r="U1280"/>
      <c r="V1280"/>
      <c r="W1280">
        <v>18</v>
      </c>
    </row>
    <row r="1281" spans="1:23">
      <c r="A1281"/>
      <c r="B1281" t="s">
        <v>135</v>
      </c>
      <c r="C1281" t="s">
        <v>135</v>
      </c>
      <c r="D1281" t="s">
        <v>33</v>
      </c>
      <c r="E1281" t="s">
        <v>34</v>
      </c>
      <c r="F1281" t="str">
        <f>"0014898"</f>
        <v>0014898</v>
      </c>
      <c r="G1281">
        <v>1</v>
      </c>
      <c r="H1281" t="str">
        <f>"00000001"</f>
        <v>00000001</v>
      </c>
      <c r="I1281" t="s">
        <v>35</v>
      </c>
      <c r="J1281"/>
      <c r="K1281">
        <v>42.37</v>
      </c>
      <c r="L1281">
        <v>0.0</v>
      </c>
      <c r="M1281"/>
      <c r="N1281"/>
      <c r="O1281">
        <v>7.63</v>
      </c>
      <c r="P1281">
        <v>0.0</v>
      </c>
      <c r="Q1281">
        <v>50.0</v>
      </c>
      <c r="R1281"/>
      <c r="S1281"/>
      <c r="T1281"/>
      <c r="U1281"/>
      <c r="V1281"/>
      <c r="W1281">
        <v>18</v>
      </c>
    </row>
    <row r="1282" spans="1:23">
      <c r="A1282"/>
      <c r="B1282" t="s">
        <v>135</v>
      </c>
      <c r="C1282" t="s">
        <v>135</v>
      </c>
      <c r="D1282" t="s">
        <v>33</v>
      </c>
      <c r="E1282" t="s">
        <v>34</v>
      </c>
      <c r="F1282" t="str">
        <f>"0014899"</f>
        <v>0014899</v>
      </c>
      <c r="G1282">
        <v>1</v>
      </c>
      <c r="H1282" t="str">
        <f>"00000001"</f>
        <v>00000001</v>
      </c>
      <c r="I1282" t="s">
        <v>35</v>
      </c>
      <c r="J1282"/>
      <c r="K1282">
        <v>30.51</v>
      </c>
      <c r="L1282">
        <v>0.0</v>
      </c>
      <c r="M1282"/>
      <c r="N1282"/>
      <c r="O1282">
        <v>5.49</v>
      </c>
      <c r="P1282">
        <v>0.0</v>
      </c>
      <c r="Q1282">
        <v>36.0</v>
      </c>
      <c r="R1282"/>
      <c r="S1282"/>
      <c r="T1282"/>
      <c r="U1282"/>
      <c r="V1282"/>
      <c r="W1282">
        <v>18</v>
      </c>
    </row>
    <row r="1283" spans="1:23">
      <c r="A1283"/>
      <c r="B1283" t="s">
        <v>138</v>
      </c>
      <c r="C1283" t="s">
        <v>138</v>
      </c>
      <c r="D1283" t="s">
        <v>33</v>
      </c>
      <c r="E1283" t="s">
        <v>34</v>
      </c>
      <c r="F1283" t="str">
        <f>"0014900"</f>
        <v>0014900</v>
      </c>
      <c r="G1283">
        <v>1</v>
      </c>
      <c r="H1283" t="str">
        <f>"00000001"</f>
        <v>00000001</v>
      </c>
      <c r="I1283" t="s">
        <v>35</v>
      </c>
      <c r="J1283"/>
      <c r="K1283">
        <v>11.44</v>
      </c>
      <c r="L1283">
        <v>0.0</v>
      </c>
      <c r="M1283"/>
      <c r="N1283"/>
      <c r="O1283">
        <v>2.06</v>
      </c>
      <c r="P1283">
        <v>0.0</v>
      </c>
      <c r="Q1283">
        <v>13.5</v>
      </c>
      <c r="R1283"/>
      <c r="S1283"/>
      <c r="T1283"/>
      <c r="U1283"/>
      <c r="V1283"/>
      <c r="W1283">
        <v>18</v>
      </c>
    </row>
    <row r="1284" spans="1:23">
      <c r="A1284"/>
      <c r="B1284" t="s">
        <v>138</v>
      </c>
      <c r="C1284" t="s">
        <v>138</v>
      </c>
      <c r="D1284" t="s">
        <v>33</v>
      </c>
      <c r="E1284" t="s">
        <v>34</v>
      </c>
      <c r="F1284" t="str">
        <f>"0014901"</f>
        <v>0014901</v>
      </c>
      <c r="G1284">
        <v>1</v>
      </c>
      <c r="H1284" t="str">
        <f>"00000001"</f>
        <v>00000001</v>
      </c>
      <c r="I1284" t="s">
        <v>35</v>
      </c>
      <c r="J1284"/>
      <c r="K1284">
        <v>3.39</v>
      </c>
      <c r="L1284">
        <v>0.0</v>
      </c>
      <c r="M1284"/>
      <c r="N1284"/>
      <c r="O1284">
        <v>0.61</v>
      </c>
      <c r="P1284">
        <v>0.0</v>
      </c>
      <c r="Q1284">
        <v>4.0</v>
      </c>
      <c r="R1284"/>
      <c r="S1284"/>
      <c r="T1284"/>
      <c r="U1284"/>
      <c r="V1284"/>
      <c r="W1284">
        <v>18</v>
      </c>
    </row>
    <row r="1285" spans="1:23">
      <c r="A1285"/>
      <c r="B1285" t="s">
        <v>138</v>
      </c>
      <c r="C1285" t="s">
        <v>138</v>
      </c>
      <c r="D1285" t="s">
        <v>33</v>
      </c>
      <c r="E1285" t="s">
        <v>34</v>
      </c>
      <c r="F1285" t="str">
        <f>"0014902"</f>
        <v>0014902</v>
      </c>
      <c r="G1285">
        <v>1</v>
      </c>
      <c r="H1285" t="str">
        <f>"00000001"</f>
        <v>00000001</v>
      </c>
      <c r="I1285" t="s">
        <v>35</v>
      </c>
      <c r="J1285"/>
      <c r="K1285">
        <v>6.78</v>
      </c>
      <c r="L1285">
        <v>0.0</v>
      </c>
      <c r="M1285"/>
      <c r="N1285"/>
      <c r="O1285">
        <v>1.22</v>
      </c>
      <c r="P1285">
        <v>0.0</v>
      </c>
      <c r="Q1285">
        <v>8.0</v>
      </c>
      <c r="R1285"/>
      <c r="S1285"/>
      <c r="T1285"/>
      <c r="U1285"/>
      <c r="V1285"/>
      <c r="W1285">
        <v>18</v>
      </c>
    </row>
    <row r="1286" spans="1:23">
      <c r="A1286"/>
      <c r="B1286" t="s">
        <v>138</v>
      </c>
      <c r="C1286" t="s">
        <v>138</v>
      </c>
      <c r="D1286" t="s">
        <v>33</v>
      </c>
      <c r="E1286" t="s">
        <v>34</v>
      </c>
      <c r="F1286" t="str">
        <f>"0014903"</f>
        <v>0014903</v>
      </c>
      <c r="G1286">
        <v>1</v>
      </c>
      <c r="H1286" t="str">
        <f>"00IENSDL"</f>
        <v>00IENSDL</v>
      </c>
      <c r="I1286" t="s">
        <v>94</v>
      </c>
      <c r="J1286"/>
      <c r="K1286">
        <v>15.68</v>
      </c>
      <c r="L1286">
        <v>0.0</v>
      </c>
      <c r="M1286"/>
      <c r="N1286"/>
      <c r="O1286">
        <v>2.82</v>
      </c>
      <c r="P1286">
        <v>0.0</v>
      </c>
      <c r="Q1286">
        <v>18.5</v>
      </c>
      <c r="R1286"/>
      <c r="S1286"/>
      <c r="T1286"/>
      <c r="U1286"/>
      <c r="V1286"/>
      <c r="W1286">
        <v>18</v>
      </c>
    </row>
    <row r="1287" spans="1:23">
      <c r="A1287"/>
      <c r="B1287" t="s">
        <v>138</v>
      </c>
      <c r="C1287" t="s">
        <v>138</v>
      </c>
      <c r="D1287" t="s">
        <v>33</v>
      </c>
      <c r="E1287" t="s">
        <v>34</v>
      </c>
      <c r="F1287" t="str">
        <f>"0014904"</f>
        <v>0014904</v>
      </c>
      <c r="G1287">
        <v>1</v>
      </c>
      <c r="H1287" t="str">
        <f>"00000001"</f>
        <v>00000001</v>
      </c>
      <c r="I1287" t="s">
        <v>35</v>
      </c>
      <c r="J1287"/>
      <c r="K1287">
        <v>4.24</v>
      </c>
      <c r="L1287">
        <v>0.0</v>
      </c>
      <c r="M1287"/>
      <c r="N1287"/>
      <c r="O1287">
        <v>0.76</v>
      </c>
      <c r="P1287">
        <v>0.0</v>
      </c>
      <c r="Q1287">
        <v>5.0</v>
      </c>
      <c r="R1287"/>
      <c r="S1287"/>
      <c r="T1287"/>
      <c r="U1287"/>
      <c r="V1287"/>
      <c r="W1287">
        <v>18</v>
      </c>
    </row>
    <row r="1288" spans="1:23">
      <c r="A1288"/>
      <c r="B1288" t="s">
        <v>138</v>
      </c>
      <c r="C1288" t="s">
        <v>138</v>
      </c>
      <c r="D1288" t="s">
        <v>33</v>
      </c>
      <c r="E1288" t="s">
        <v>34</v>
      </c>
      <c r="F1288" t="str">
        <f>"0014905"</f>
        <v>0014905</v>
      </c>
      <c r="G1288">
        <v>1</v>
      </c>
      <c r="H1288" t="str">
        <f>"00000001"</f>
        <v>00000001</v>
      </c>
      <c r="I1288" t="s">
        <v>35</v>
      </c>
      <c r="J1288"/>
      <c r="K1288">
        <v>4.24</v>
      </c>
      <c r="L1288">
        <v>0.0</v>
      </c>
      <c r="M1288"/>
      <c r="N1288"/>
      <c r="O1288">
        <v>0.76</v>
      </c>
      <c r="P1288">
        <v>0.0</v>
      </c>
      <c r="Q1288">
        <v>5.0</v>
      </c>
      <c r="R1288"/>
      <c r="S1288"/>
      <c r="T1288"/>
      <c r="U1288"/>
      <c r="V1288"/>
      <c r="W1288">
        <v>18</v>
      </c>
    </row>
    <row r="1289" spans="1:23">
      <c r="A1289"/>
      <c r="B1289" t="s">
        <v>138</v>
      </c>
      <c r="C1289" t="s">
        <v>138</v>
      </c>
      <c r="D1289" t="s">
        <v>33</v>
      </c>
      <c r="E1289" t="s">
        <v>34</v>
      </c>
      <c r="F1289" t="str">
        <f>"0014906"</f>
        <v>0014906</v>
      </c>
      <c r="G1289">
        <v>1</v>
      </c>
      <c r="H1289" t="str">
        <f>"00000001"</f>
        <v>00000001</v>
      </c>
      <c r="I1289" t="s">
        <v>35</v>
      </c>
      <c r="J1289"/>
      <c r="K1289">
        <v>11.86</v>
      </c>
      <c r="L1289">
        <v>0.0</v>
      </c>
      <c r="M1289"/>
      <c r="N1289"/>
      <c r="O1289">
        <v>2.14</v>
      </c>
      <c r="P1289">
        <v>0.0</v>
      </c>
      <c r="Q1289">
        <v>14.0</v>
      </c>
      <c r="R1289"/>
      <c r="S1289"/>
      <c r="T1289"/>
      <c r="U1289"/>
      <c r="V1289"/>
      <c r="W1289">
        <v>18</v>
      </c>
    </row>
    <row r="1290" spans="1:23">
      <c r="A1290"/>
      <c r="B1290" t="s">
        <v>138</v>
      </c>
      <c r="C1290" t="s">
        <v>138</v>
      </c>
      <c r="D1290" t="s">
        <v>33</v>
      </c>
      <c r="E1290" t="s">
        <v>34</v>
      </c>
      <c r="F1290" t="str">
        <f>"0014907"</f>
        <v>0014907</v>
      </c>
      <c r="G1290">
        <v>1</v>
      </c>
      <c r="H1290" t="str">
        <f>"00000001"</f>
        <v>00000001</v>
      </c>
      <c r="I1290" t="s">
        <v>35</v>
      </c>
      <c r="J1290"/>
      <c r="K1290">
        <v>5.93</v>
      </c>
      <c r="L1290">
        <v>0.0</v>
      </c>
      <c r="M1290"/>
      <c r="N1290"/>
      <c r="O1290">
        <v>1.07</v>
      </c>
      <c r="P1290">
        <v>0.0</v>
      </c>
      <c r="Q1290">
        <v>7.0</v>
      </c>
      <c r="R1290"/>
      <c r="S1290"/>
      <c r="T1290"/>
      <c r="U1290"/>
      <c r="V1290"/>
      <c r="W1290">
        <v>18</v>
      </c>
    </row>
    <row r="1291" spans="1:23">
      <c r="A1291"/>
      <c r="B1291" t="s">
        <v>138</v>
      </c>
      <c r="C1291" t="s">
        <v>138</v>
      </c>
      <c r="D1291" t="s">
        <v>33</v>
      </c>
      <c r="E1291" t="s">
        <v>34</v>
      </c>
      <c r="F1291" t="str">
        <f>"0014908"</f>
        <v>0014908</v>
      </c>
      <c r="G1291">
        <v>1</v>
      </c>
      <c r="H1291" t="str">
        <f>"00000001"</f>
        <v>00000001</v>
      </c>
      <c r="I1291" t="s">
        <v>35</v>
      </c>
      <c r="J1291"/>
      <c r="K1291">
        <v>12.71</v>
      </c>
      <c r="L1291">
        <v>0.0</v>
      </c>
      <c r="M1291"/>
      <c r="N1291"/>
      <c r="O1291">
        <v>2.29</v>
      </c>
      <c r="P1291">
        <v>0.0</v>
      </c>
      <c r="Q1291">
        <v>15.0</v>
      </c>
      <c r="R1291"/>
      <c r="S1291"/>
      <c r="T1291"/>
      <c r="U1291"/>
      <c r="V1291"/>
      <c r="W1291">
        <v>18</v>
      </c>
    </row>
    <row r="1292" spans="1:23">
      <c r="A1292"/>
      <c r="B1292" t="s">
        <v>138</v>
      </c>
      <c r="C1292" t="s">
        <v>138</v>
      </c>
      <c r="D1292" t="s">
        <v>33</v>
      </c>
      <c r="E1292" t="s">
        <v>34</v>
      </c>
      <c r="F1292" t="str">
        <f>"0014909"</f>
        <v>0014909</v>
      </c>
      <c r="G1292">
        <v>1</v>
      </c>
      <c r="H1292" t="str">
        <f>"00082661"</f>
        <v>00082661</v>
      </c>
      <c r="I1292" t="s">
        <v>132</v>
      </c>
      <c r="J1292"/>
      <c r="K1292">
        <v>4.24</v>
      </c>
      <c r="L1292">
        <v>0.0</v>
      </c>
      <c r="M1292"/>
      <c r="N1292"/>
      <c r="O1292">
        <v>0.76</v>
      </c>
      <c r="P1292">
        <v>0.0</v>
      </c>
      <c r="Q1292">
        <v>5.0</v>
      </c>
      <c r="R1292"/>
      <c r="S1292"/>
      <c r="T1292"/>
      <c r="U1292"/>
      <c r="V1292"/>
      <c r="W1292">
        <v>18</v>
      </c>
    </row>
    <row r="1293" spans="1:23">
      <c r="A1293"/>
      <c r="B1293" t="s">
        <v>138</v>
      </c>
      <c r="C1293" t="s">
        <v>138</v>
      </c>
      <c r="D1293" t="s">
        <v>33</v>
      </c>
      <c r="E1293" t="s">
        <v>34</v>
      </c>
      <c r="F1293" t="str">
        <f>"0014910"</f>
        <v>0014910</v>
      </c>
      <c r="G1293">
        <v>1</v>
      </c>
      <c r="H1293" t="str">
        <f>"00082661"</f>
        <v>00082661</v>
      </c>
      <c r="I1293" t="s">
        <v>132</v>
      </c>
      <c r="J1293"/>
      <c r="K1293">
        <v>25.42</v>
      </c>
      <c r="L1293">
        <v>0.0</v>
      </c>
      <c r="M1293"/>
      <c r="N1293"/>
      <c r="O1293">
        <v>4.58</v>
      </c>
      <c r="P1293">
        <v>0.0</v>
      </c>
      <c r="Q1293">
        <v>30.0</v>
      </c>
      <c r="R1293"/>
      <c r="S1293"/>
      <c r="T1293"/>
      <c r="U1293"/>
      <c r="V1293"/>
      <c r="W1293">
        <v>18</v>
      </c>
    </row>
    <row r="1294" spans="1:23">
      <c r="A1294"/>
      <c r="B1294" t="s">
        <v>138</v>
      </c>
      <c r="C1294" t="s">
        <v>138</v>
      </c>
      <c r="D1294" t="s">
        <v>33</v>
      </c>
      <c r="E1294" t="s">
        <v>34</v>
      </c>
      <c r="F1294" t="str">
        <f>"0014911"</f>
        <v>0014911</v>
      </c>
      <c r="G1294">
        <v>6</v>
      </c>
      <c r="H1294" t="str">
        <f>"20608580833"</f>
        <v>20608580833</v>
      </c>
      <c r="I1294" t="s">
        <v>78</v>
      </c>
      <c r="J1294"/>
      <c r="K1294">
        <v>953.39</v>
      </c>
      <c r="L1294">
        <v>0.0</v>
      </c>
      <c r="M1294"/>
      <c r="N1294"/>
      <c r="O1294">
        <v>171.61</v>
      </c>
      <c r="P1294">
        <v>0.0</v>
      </c>
      <c r="Q1294">
        <v>1125.0</v>
      </c>
      <c r="R1294"/>
      <c r="S1294"/>
      <c r="T1294"/>
      <c r="U1294"/>
      <c r="V1294"/>
      <c r="W1294">
        <v>18</v>
      </c>
    </row>
    <row r="1295" spans="1:23">
      <c r="A1295"/>
      <c r="B1295" t="s">
        <v>138</v>
      </c>
      <c r="C1295" t="s">
        <v>138</v>
      </c>
      <c r="D1295" t="s">
        <v>33</v>
      </c>
      <c r="E1295" t="s">
        <v>34</v>
      </c>
      <c r="F1295" t="str">
        <f>"0014912"</f>
        <v>0014912</v>
      </c>
      <c r="G1295">
        <v>1</v>
      </c>
      <c r="H1295" t="str">
        <f>"00082661"</f>
        <v>00082661</v>
      </c>
      <c r="I1295" t="s">
        <v>132</v>
      </c>
      <c r="J1295"/>
      <c r="K1295">
        <v>21.19</v>
      </c>
      <c r="L1295">
        <v>0.0</v>
      </c>
      <c r="M1295"/>
      <c r="N1295"/>
      <c r="O1295">
        <v>3.81</v>
      </c>
      <c r="P1295">
        <v>0.0</v>
      </c>
      <c r="Q1295">
        <v>25.0</v>
      </c>
      <c r="R1295"/>
      <c r="S1295"/>
      <c r="T1295"/>
      <c r="U1295"/>
      <c r="V1295"/>
      <c r="W1295">
        <v>18</v>
      </c>
    </row>
    <row r="1296" spans="1:23">
      <c r="A1296"/>
      <c r="B1296" t="s">
        <v>138</v>
      </c>
      <c r="C1296" t="s">
        <v>138</v>
      </c>
      <c r="D1296" t="s">
        <v>33</v>
      </c>
      <c r="E1296" t="s">
        <v>34</v>
      </c>
      <c r="F1296" t="str">
        <f>"0014913"</f>
        <v>0014913</v>
      </c>
      <c r="G1296">
        <v>1</v>
      </c>
      <c r="H1296" t="str">
        <f>"00000001"</f>
        <v>00000001</v>
      </c>
      <c r="I1296" t="s">
        <v>35</v>
      </c>
      <c r="J1296"/>
      <c r="K1296">
        <v>15.25</v>
      </c>
      <c r="L1296">
        <v>0.0</v>
      </c>
      <c r="M1296"/>
      <c r="N1296"/>
      <c r="O1296">
        <v>2.75</v>
      </c>
      <c r="P1296">
        <v>0.0</v>
      </c>
      <c r="Q1296">
        <v>18.0</v>
      </c>
      <c r="R1296"/>
      <c r="S1296"/>
      <c r="T1296"/>
      <c r="U1296"/>
      <c r="V1296"/>
      <c r="W1296">
        <v>18</v>
      </c>
    </row>
    <row r="1297" spans="1:23">
      <c r="A1297"/>
      <c r="B1297" t="s">
        <v>138</v>
      </c>
      <c r="C1297" t="s">
        <v>138</v>
      </c>
      <c r="D1297" t="s">
        <v>33</v>
      </c>
      <c r="E1297" t="s">
        <v>34</v>
      </c>
      <c r="F1297" t="str">
        <f>"0014914"</f>
        <v>0014914</v>
      </c>
      <c r="G1297">
        <v>1</v>
      </c>
      <c r="H1297" t="str">
        <f>"00000001"</f>
        <v>00000001</v>
      </c>
      <c r="I1297" t="s">
        <v>35</v>
      </c>
      <c r="J1297"/>
      <c r="K1297">
        <v>12.71</v>
      </c>
      <c r="L1297">
        <v>0.0</v>
      </c>
      <c r="M1297"/>
      <c r="N1297"/>
      <c r="O1297">
        <v>2.29</v>
      </c>
      <c r="P1297">
        <v>0.0</v>
      </c>
      <c r="Q1297">
        <v>15.0</v>
      </c>
      <c r="R1297"/>
      <c r="S1297"/>
      <c r="T1297"/>
      <c r="U1297"/>
      <c r="V1297"/>
      <c r="W1297">
        <v>18</v>
      </c>
    </row>
    <row r="1298" spans="1:23">
      <c r="A1298"/>
      <c r="B1298" t="s">
        <v>138</v>
      </c>
      <c r="C1298" t="s">
        <v>138</v>
      </c>
      <c r="D1298" t="s">
        <v>33</v>
      </c>
      <c r="E1298" t="s">
        <v>34</v>
      </c>
      <c r="F1298" t="str">
        <f>"0014915"</f>
        <v>0014915</v>
      </c>
      <c r="G1298">
        <v>1</v>
      </c>
      <c r="H1298" t="str">
        <f>"00000001"</f>
        <v>00000001</v>
      </c>
      <c r="I1298" t="s">
        <v>35</v>
      </c>
      <c r="J1298"/>
      <c r="K1298">
        <v>25.42</v>
      </c>
      <c r="L1298">
        <v>0.0</v>
      </c>
      <c r="M1298"/>
      <c r="N1298"/>
      <c r="O1298">
        <v>4.58</v>
      </c>
      <c r="P1298">
        <v>0.0</v>
      </c>
      <c r="Q1298">
        <v>30.0</v>
      </c>
      <c r="R1298"/>
      <c r="S1298"/>
      <c r="T1298"/>
      <c r="U1298"/>
      <c r="V1298"/>
      <c r="W1298">
        <v>18</v>
      </c>
    </row>
    <row r="1299" spans="1:23">
      <c r="A1299"/>
      <c r="B1299" t="s">
        <v>138</v>
      </c>
      <c r="C1299" t="s">
        <v>138</v>
      </c>
      <c r="D1299" t="s">
        <v>33</v>
      </c>
      <c r="E1299" t="s">
        <v>34</v>
      </c>
      <c r="F1299" t="str">
        <f>"0014916"</f>
        <v>0014916</v>
      </c>
      <c r="G1299">
        <v>1</v>
      </c>
      <c r="H1299" t="str">
        <f>"00000001"</f>
        <v>00000001</v>
      </c>
      <c r="I1299" t="s">
        <v>35</v>
      </c>
      <c r="J1299"/>
      <c r="K1299">
        <v>16.95</v>
      </c>
      <c r="L1299">
        <v>0.0</v>
      </c>
      <c r="M1299"/>
      <c r="N1299"/>
      <c r="O1299">
        <v>3.05</v>
      </c>
      <c r="P1299">
        <v>0.0</v>
      </c>
      <c r="Q1299">
        <v>20.0</v>
      </c>
      <c r="R1299"/>
      <c r="S1299"/>
      <c r="T1299"/>
      <c r="U1299"/>
      <c r="V1299"/>
      <c r="W1299">
        <v>18</v>
      </c>
    </row>
    <row r="1300" spans="1:23">
      <c r="A1300"/>
      <c r="B1300" t="s">
        <v>138</v>
      </c>
      <c r="C1300" t="s">
        <v>138</v>
      </c>
      <c r="D1300" t="s">
        <v>33</v>
      </c>
      <c r="E1300" t="s">
        <v>34</v>
      </c>
      <c r="F1300" t="str">
        <f>"0014917"</f>
        <v>0014917</v>
      </c>
      <c r="G1300">
        <v>1</v>
      </c>
      <c r="H1300" t="str">
        <f>"00000001"</f>
        <v>00000001</v>
      </c>
      <c r="I1300" t="s">
        <v>35</v>
      </c>
      <c r="J1300"/>
      <c r="K1300">
        <v>29.66</v>
      </c>
      <c r="L1300">
        <v>0.0</v>
      </c>
      <c r="M1300"/>
      <c r="N1300"/>
      <c r="O1300">
        <v>5.34</v>
      </c>
      <c r="P1300">
        <v>0.0</v>
      </c>
      <c r="Q1300">
        <v>35.0</v>
      </c>
      <c r="R1300"/>
      <c r="S1300"/>
      <c r="T1300"/>
      <c r="U1300"/>
      <c r="V1300"/>
      <c r="W1300">
        <v>18</v>
      </c>
    </row>
    <row r="1301" spans="1:23">
      <c r="A1301"/>
      <c r="B1301" t="s">
        <v>138</v>
      </c>
      <c r="C1301" t="s">
        <v>138</v>
      </c>
      <c r="D1301" t="s">
        <v>33</v>
      </c>
      <c r="E1301" t="s">
        <v>34</v>
      </c>
      <c r="F1301" t="str">
        <f>"0014918"</f>
        <v>0014918</v>
      </c>
      <c r="G1301">
        <v>6</v>
      </c>
      <c r="H1301" t="str">
        <f>"20602050506"</f>
        <v>20602050506</v>
      </c>
      <c r="I1301" t="s">
        <v>81</v>
      </c>
      <c r="J1301"/>
      <c r="K1301">
        <v>26.27</v>
      </c>
      <c r="L1301">
        <v>0.0</v>
      </c>
      <c r="M1301"/>
      <c r="N1301"/>
      <c r="O1301">
        <v>4.73</v>
      </c>
      <c r="P1301">
        <v>0.0</v>
      </c>
      <c r="Q1301">
        <v>31.0</v>
      </c>
      <c r="R1301"/>
      <c r="S1301"/>
      <c r="T1301"/>
      <c r="U1301"/>
      <c r="V1301"/>
      <c r="W1301">
        <v>18</v>
      </c>
    </row>
    <row r="1302" spans="1:23">
      <c r="A1302"/>
      <c r="B1302" t="s">
        <v>138</v>
      </c>
      <c r="C1302" t="s">
        <v>138</v>
      </c>
      <c r="D1302" t="s">
        <v>40</v>
      </c>
      <c r="E1302" t="s">
        <v>41</v>
      </c>
      <c r="F1302" t="str">
        <f>"0001296"</f>
        <v>0001296</v>
      </c>
      <c r="G1302">
        <v>6</v>
      </c>
      <c r="H1302" t="str">
        <f>"10454679534"</f>
        <v>10454679534</v>
      </c>
      <c r="I1302" t="s">
        <v>139</v>
      </c>
      <c r="J1302"/>
      <c r="K1302">
        <v>10.68</v>
      </c>
      <c r="L1302">
        <v>0.0</v>
      </c>
      <c r="M1302"/>
      <c r="N1302"/>
      <c r="O1302">
        <v>1.92</v>
      </c>
      <c r="P1302">
        <v>0.0</v>
      </c>
      <c r="Q1302">
        <v>12.6</v>
      </c>
      <c r="R1302"/>
      <c r="S1302"/>
      <c r="T1302"/>
      <c r="U1302"/>
      <c r="V1302"/>
      <c r="W1302">
        <v>18</v>
      </c>
    </row>
    <row r="1303" spans="1:23">
      <c r="A1303"/>
      <c r="B1303" t="s">
        <v>138</v>
      </c>
      <c r="C1303" t="s">
        <v>138</v>
      </c>
      <c r="D1303" t="s">
        <v>33</v>
      </c>
      <c r="E1303" t="s">
        <v>34</v>
      </c>
      <c r="F1303" t="str">
        <f>"0014919"</f>
        <v>0014919</v>
      </c>
      <c r="G1303">
        <v>1</v>
      </c>
      <c r="H1303" t="str">
        <f>"00000001"</f>
        <v>00000001</v>
      </c>
      <c r="I1303" t="s">
        <v>35</v>
      </c>
      <c r="J1303"/>
      <c r="K1303">
        <v>25.42</v>
      </c>
      <c r="L1303">
        <v>0.0</v>
      </c>
      <c r="M1303"/>
      <c r="N1303"/>
      <c r="O1303">
        <v>4.58</v>
      </c>
      <c r="P1303">
        <v>0.0</v>
      </c>
      <c r="Q1303">
        <v>30.0</v>
      </c>
      <c r="R1303"/>
      <c r="S1303"/>
      <c r="T1303"/>
      <c r="U1303"/>
      <c r="V1303"/>
      <c r="W1303">
        <v>18</v>
      </c>
    </row>
    <row r="1304" spans="1:23">
      <c r="A1304"/>
      <c r="B1304" t="s">
        <v>138</v>
      </c>
      <c r="C1304" t="s">
        <v>138</v>
      </c>
      <c r="D1304" t="s">
        <v>33</v>
      </c>
      <c r="E1304" t="s">
        <v>34</v>
      </c>
      <c r="F1304" t="str">
        <f>"0014920"</f>
        <v>0014920</v>
      </c>
      <c r="G1304">
        <v>1</v>
      </c>
      <c r="H1304" t="str">
        <f>"00000001"</f>
        <v>00000001</v>
      </c>
      <c r="I1304" t="s">
        <v>35</v>
      </c>
      <c r="J1304"/>
      <c r="K1304">
        <v>5.08</v>
      </c>
      <c r="L1304">
        <v>0.0</v>
      </c>
      <c r="M1304"/>
      <c r="N1304"/>
      <c r="O1304">
        <v>0.92</v>
      </c>
      <c r="P1304">
        <v>0.0</v>
      </c>
      <c r="Q1304">
        <v>6.0</v>
      </c>
      <c r="R1304"/>
      <c r="S1304"/>
      <c r="T1304"/>
      <c r="U1304"/>
      <c r="V1304"/>
      <c r="W1304">
        <v>18</v>
      </c>
    </row>
    <row r="1305" spans="1:23">
      <c r="A1305"/>
      <c r="B1305" t="s">
        <v>138</v>
      </c>
      <c r="C1305" t="s">
        <v>138</v>
      </c>
      <c r="D1305" t="s">
        <v>33</v>
      </c>
      <c r="E1305" t="s">
        <v>34</v>
      </c>
      <c r="F1305" t="str">
        <f>"0014921"</f>
        <v>0014921</v>
      </c>
      <c r="G1305">
        <v>1</v>
      </c>
      <c r="H1305" t="str">
        <f>"46055105"</f>
        <v>46055105</v>
      </c>
      <c r="I1305" t="s">
        <v>140</v>
      </c>
      <c r="J1305"/>
      <c r="K1305">
        <v>8.47</v>
      </c>
      <c r="L1305">
        <v>0.0</v>
      </c>
      <c r="M1305"/>
      <c r="N1305"/>
      <c r="O1305">
        <v>1.53</v>
      </c>
      <c r="P1305">
        <v>0.0</v>
      </c>
      <c r="Q1305">
        <v>10.0</v>
      </c>
      <c r="R1305"/>
      <c r="S1305"/>
      <c r="T1305"/>
      <c r="U1305"/>
      <c r="V1305"/>
      <c r="W1305">
        <v>18</v>
      </c>
    </row>
    <row r="1306" spans="1:23">
      <c r="A1306"/>
      <c r="B1306" t="s">
        <v>138</v>
      </c>
      <c r="C1306" t="s">
        <v>138</v>
      </c>
      <c r="D1306" t="s">
        <v>33</v>
      </c>
      <c r="E1306" t="s">
        <v>34</v>
      </c>
      <c r="F1306" t="str">
        <f>"0014922"</f>
        <v>0014922</v>
      </c>
      <c r="G1306">
        <v>6</v>
      </c>
      <c r="H1306" t="str">
        <f>"20608580833"</f>
        <v>20608580833</v>
      </c>
      <c r="I1306" t="s">
        <v>78</v>
      </c>
      <c r="J1306"/>
      <c r="K1306">
        <v>3432.2</v>
      </c>
      <c r="L1306">
        <v>0.0</v>
      </c>
      <c r="M1306"/>
      <c r="N1306"/>
      <c r="O1306">
        <v>617.8</v>
      </c>
      <c r="P1306">
        <v>0.0</v>
      </c>
      <c r="Q1306">
        <v>4050.0</v>
      </c>
      <c r="R1306"/>
      <c r="S1306"/>
      <c r="T1306"/>
      <c r="U1306"/>
      <c r="V1306"/>
      <c r="W1306">
        <v>18</v>
      </c>
    </row>
    <row r="1307" spans="1:23">
      <c r="A1307"/>
      <c r="B1307" t="s">
        <v>138</v>
      </c>
      <c r="C1307" t="s">
        <v>138</v>
      </c>
      <c r="D1307" t="s">
        <v>33</v>
      </c>
      <c r="E1307" t="s">
        <v>34</v>
      </c>
      <c r="F1307" t="str">
        <f>"0014923"</f>
        <v>0014923</v>
      </c>
      <c r="G1307">
        <v>1</v>
      </c>
      <c r="H1307" t="str">
        <f>"WCDNI000"</f>
        <v>WCDNI000</v>
      </c>
      <c r="I1307" t="s">
        <v>141</v>
      </c>
      <c r="J1307"/>
      <c r="K1307">
        <v>5.08</v>
      </c>
      <c r="L1307">
        <v>0.0</v>
      </c>
      <c r="M1307"/>
      <c r="N1307"/>
      <c r="O1307">
        <v>0.92</v>
      </c>
      <c r="P1307">
        <v>0.0</v>
      </c>
      <c r="Q1307">
        <v>6.0</v>
      </c>
      <c r="R1307"/>
      <c r="S1307"/>
      <c r="T1307"/>
      <c r="U1307"/>
      <c r="V1307"/>
      <c r="W1307">
        <v>18</v>
      </c>
    </row>
    <row r="1308" spans="1:23">
      <c r="A1308"/>
      <c r="B1308" t="s">
        <v>142</v>
      </c>
      <c r="C1308" t="s">
        <v>142</v>
      </c>
      <c r="D1308" t="s">
        <v>33</v>
      </c>
      <c r="E1308" t="s">
        <v>34</v>
      </c>
      <c r="F1308" t="str">
        <f>"0014924"</f>
        <v>0014924</v>
      </c>
      <c r="G1308">
        <v>1</v>
      </c>
      <c r="H1308" t="str">
        <f>"00000001"</f>
        <v>00000001</v>
      </c>
      <c r="I1308" t="s">
        <v>35</v>
      </c>
      <c r="J1308"/>
      <c r="K1308">
        <v>10.17</v>
      </c>
      <c r="L1308">
        <v>0.0</v>
      </c>
      <c r="M1308"/>
      <c r="N1308"/>
      <c r="O1308">
        <v>1.83</v>
      </c>
      <c r="P1308">
        <v>0.0</v>
      </c>
      <c r="Q1308">
        <v>12.0</v>
      </c>
      <c r="R1308"/>
      <c r="S1308"/>
      <c r="T1308"/>
      <c r="U1308"/>
      <c r="V1308"/>
      <c r="W1308">
        <v>18</v>
      </c>
    </row>
    <row r="1309" spans="1:23">
      <c r="A1309"/>
      <c r="B1309" t="s">
        <v>142</v>
      </c>
      <c r="C1309" t="s">
        <v>142</v>
      </c>
      <c r="D1309" t="s">
        <v>33</v>
      </c>
      <c r="E1309" t="s">
        <v>34</v>
      </c>
      <c r="F1309" t="str">
        <f>"0014925"</f>
        <v>0014925</v>
      </c>
      <c r="G1309">
        <v>1</v>
      </c>
      <c r="H1309" t="str">
        <f>"00000001"</f>
        <v>00000001</v>
      </c>
      <c r="I1309" t="s">
        <v>35</v>
      </c>
      <c r="J1309"/>
      <c r="K1309">
        <v>3.39</v>
      </c>
      <c r="L1309">
        <v>0.0</v>
      </c>
      <c r="M1309"/>
      <c r="N1309"/>
      <c r="O1309">
        <v>0.61</v>
      </c>
      <c r="P1309">
        <v>0.0</v>
      </c>
      <c r="Q1309">
        <v>4.0</v>
      </c>
      <c r="R1309"/>
      <c r="S1309"/>
      <c r="T1309"/>
      <c r="U1309"/>
      <c r="V1309"/>
      <c r="W1309">
        <v>18</v>
      </c>
    </row>
    <row r="1310" spans="1:23">
      <c r="A1310"/>
      <c r="B1310" t="s">
        <v>142</v>
      </c>
      <c r="C1310" t="s">
        <v>142</v>
      </c>
      <c r="D1310" t="s">
        <v>33</v>
      </c>
      <c r="E1310" t="s">
        <v>34</v>
      </c>
      <c r="F1310" t="str">
        <f>"0014926"</f>
        <v>0014926</v>
      </c>
      <c r="G1310">
        <v>1</v>
      </c>
      <c r="H1310" t="str">
        <f>"00000001"</f>
        <v>00000001</v>
      </c>
      <c r="I1310" t="s">
        <v>35</v>
      </c>
      <c r="J1310"/>
      <c r="K1310">
        <v>7.63</v>
      </c>
      <c r="L1310">
        <v>0.0</v>
      </c>
      <c r="M1310"/>
      <c r="N1310"/>
      <c r="O1310">
        <v>1.37</v>
      </c>
      <c r="P1310">
        <v>0.0</v>
      </c>
      <c r="Q1310">
        <v>9.0</v>
      </c>
      <c r="R1310"/>
      <c r="S1310"/>
      <c r="T1310"/>
      <c r="U1310"/>
      <c r="V1310"/>
      <c r="W1310">
        <v>18</v>
      </c>
    </row>
    <row r="1311" spans="1:23">
      <c r="A1311"/>
      <c r="B1311" t="s">
        <v>142</v>
      </c>
      <c r="C1311" t="s">
        <v>142</v>
      </c>
      <c r="D1311" t="s">
        <v>33</v>
      </c>
      <c r="E1311" t="s">
        <v>34</v>
      </c>
      <c r="F1311" t="str">
        <f>"0014927"</f>
        <v>0014927</v>
      </c>
      <c r="G1311">
        <v>1</v>
      </c>
      <c r="H1311" t="str">
        <f>"00000001"</f>
        <v>00000001</v>
      </c>
      <c r="I1311" t="s">
        <v>35</v>
      </c>
      <c r="J1311"/>
      <c r="K1311">
        <v>6.78</v>
      </c>
      <c r="L1311">
        <v>0.0</v>
      </c>
      <c r="M1311"/>
      <c r="N1311"/>
      <c r="O1311">
        <v>1.22</v>
      </c>
      <c r="P1311">
        <v>0.0</v>
      </c>
      <c r="Q1311">
        <v>8.0</v>
      </c>
      <c r="R1311"/>
      <c r="S1311"/>
      <c r="T1311"/>
      <c r="U1311"/>
      <c r="V1311"/>
      <c r="W1311">
        <v>18</v>
      </c>
    </row>
    <row r="1312" spans="1:23">
      <c r="A1312"/>
      <c r="B1312" t="s">
        <v>142</v>
      </c>
      <c r="C1312" t="s">
        <v>142</v>
      </c>
      <c r="D1312" t="s">
        <v>33</v>
      </c>
      <c r="E1312" t="s">
        <v>34</v>
      </c>
      <c r="F1312" t="str">
        <f>"0014928"</f>
        <v>0014928</v>
      </c>
      <c r="G1312">
        <v>1</v>
      </c>
      <c r="H1312" t="str">
        <f>"00000001"</f>
        <v>00000001</v>
      </c>
      <c r="I1312" t="s">
        <v>35</v>
      </c>
      <c r="J1312"/>
      <c r="K1312">
        <v>5.93</v>
      </c>
      <c r="L1312">
        <v>0.0</v>
      </c>
      <c r="M1312"/>
      <c r="N1312"/>
      <c r="O1312">
        <v>1.07</v>
      </c>
      <c r="P1312">
        <v>0.0</v>
      </c>
      <c r="Q1312">
        <v>7.0</v>
      </c>
      <c r="R1312"/>
      <c r="S1312"/>
      <c r="T1312"/>
      <c r="U1312"/>
      <c r="V1312"/>
      <c r="W1312">
        <v>18</v>
      </c>
    </row>
    <row r="1313" spans="1:23">
      <c r="A1313"/>
      <c r="B1313" t="s">
        <v>142</v>
      </c>
      <c r="C1313" t="s">
        <v>142</v>
      </c>
      <c r="D1313" t="s">
        <v>33</v>
      </c>
      <c r="E1313" t="s">
        <v>34</v>
      </c>
      <c r="F1313" t="str">
        <f>"0014929"</f>
        <v>0014929</v>
      </c>
      <c r="G1313">
        <v>1</v>
      </c>
      <c r="H1313" t="str">
        <f>"00000001"</f>
        <v>00000001</v>
      </c>
      <c r="I1313" t="s">
        <v>35</v>
      </c>
      <c r="J1313"/>
      <c r="K1313">
        <v>7.63</v>
      </c>
      <c r="L1313">
        <v>0.0</v>
      </c>
      <c r="M1313"/>
      <c r="N1313"/>
      <c r="O1313">
        <v>1.37</v>
      </c>
      <c r="P1313">
        <v>0.0</v>
      </c>
      <c r="Q1313">
        <v>9.0</v>
      </c>
      <c r="R1313"/>
      <c r="S1313"/>
      <c r="T1313"/>
      <c r="U1313"/>
      <c r="V1313"/>
      <c r="W1313">
        <v>18</v>
      </c>
    </row>
    <row r="1314" spans="1:23">
      <c r="A1314"/>
      <c r="B1314" t="s">
        <v>142</v>
      </c>
      <c r="C1314" t="s">
        <v>142</v>
      </c>
      <c r="D1314" t="s">
        <v>33</v>
      </c>
      <c r="E1314" t="s">
        <v>34</v>
      </c>
      <c r="F1314" t="str">
        <f>"0014930"</f>
        <v>0014930</v>
      </c>
      <c r="G1314">
        <v>1</v>
      </c>
      <c r="H1314" t="str">
        <f>"00000001"</f>
        <v>00000001</v>
      </c>
      <c r="I1314" t="s">
        <v>35</v>
      </c>
      <c r="J1314"/>
      <c r="K1314">
        <v>2.54</v>
      </c>
      <c r="L1314">
        <v>0.0</v>
      </c>
      <c r="M1314"/>
      <c r="N1314"/>
      <c r="O1314">
        <v>0.46</v>
      </c>
      <c r="P1314">
        <v>0.0</v>
      </c>
      <c r="Q1314">
        <v>3.0</v>
      </c>
      <c r="R1314"/>
      <c r="S1314"/>
      <c r="T1314"/>
      <c r="U1314"/>
      <c r="V1314"/>
      <c r="W1314">
        <v>18</v>
      </c>
    </row>
    <row r="1315" spans="1:23">
      <c r="A1315"/>
      <c r="B1315" t="s">
        <v>142</v>
      </c>
      <c r="C1315" t="s">
        <v>142</v>
      </c>
      <c r="D1315" t="s">
        <v>33</v>
      </c>
      <c r="E1315" t="s">
        <v>34</v>
      </c>
      <c r="F1315" t="str">
        <f>"0014931"</f>
        <v>0014931</v>
      </c>
      <c r="G1315">
        <v>1</v>
      </c>
      <c r="H1315" t="str">
        <f>"00000001"</f>
        <v>00000001</v>
      </c>
      <c r="I1315" t="s">
        <v>35</v>
      </c>
      <c r="J1315"/>
      <c r="K1315">
        <v>10.17</v>
      </c>
      <c r="L1315">
        <v>0.0</v>
      </c>
      <c r="M1315"/>
      <c r="N1315"/>
      <c r="O1315">
        <v>1.83</v>
      </c>
      <c r="P1315">
        <v>0.0</v>
      </c>
      <c r="Q1315">
        <v>12.0</v>
      </c>
      <c r="R1315"/>
      <c r="S1315"/>
      <c r="T1315"/>
      <c r="U1315"/>
      <c r="V1315"/>
      <c r="W1315">
        <v>18</v>
      </c>
    </row>
    <row r="1316" spans="1:23">
      <c r="A1316"/>
      <c r="B1316" t="s">
        <v>142</v>
      </c>
      <c r="C1316" t="s">
        <v>142</v>
      </c>
      <c r="D1316" t="s">
        <v>33</v>
      </c>
      <c r="E1316" t="s">
        <v>34</v>
      </c>
      <c r="F1316" t="str">
        <f>"0014932"</f>
        <v>0014932</v>
      </c>
      <c r="G1316">
        <v>1</v>
      </c>
      <c r="H1316" t="str">
        <f>"26673454"</f>
        <v>26673454</v>
      </c>
      <c r="I1316" t="s">
        <v>143</v>
      </c>
      <c r="J1316"/>
      <c r="K1316">
        <v>12.71</v>
      </c>
      <c r="L1316">
        <v>0.0</v>
      </c>
      <c r="M1316"/>
      <c r="N1316"/>
      <c r="O1316">
        <v>2.29</v>
      </c>
      <c r="P1316">
        <v>0.0</v>
      </c>
      <c r="Q1316">
        <v>15.0</v>
      </c>
      <c r="R1316"/>
      <c r="S1316"/>
      <c r="T1316"/>
      <c r="U1316"/>
      <c r="V1316"/>
      <c r="W1316">
        <v>18</v>
      </c>
    </row>
    <row r="1317" spans="1:23">
      <c r="A1317"/>
      <c r="B1317" t="s">
        <v>142</v>
      </c>
      <c r="C1317" t="s">
        <v>142</v>
      </c>
      <c r="D1317" t="s">
        <v>33</v>
      </c>
      <c r="E1317" t="s">
        <v>34</v>
      </c>
      <c r="F1317" t="str">
        <f>"0014933"</f>
        <v>0014933</v>
      </c>
      <c r="G1317">
        <v>1</v>
      </c>
      <c r="H1317" t="str">
        <f>"00000001"</f>
        <v>00000001</v>
      </c>
      <c r="I1317" t="s">
        <v>35</v>
      </c>
      <c r="J1317"/>
      <c r="K1317">
        <v>12.71</v>
      </c>
      <c r="L1317">
        <v>0.0</v>
      </c>
      <c r="M1317"/>
      <c r="N1317"/>
      <c r="O1317">
        <v>2.29</v>
      </c>
      <c r="P1317">
        <v>0.0</v>
      </c>
      <c r="Q1317">
        <v>15.0</v>
      </c>
      <c r="R1317"/>
      <c r="S1317"/>
      <c r="T1317"/>
      <c r="U1317"/>
      <c r="V1317"/>
      <c r="W1317">
        <v>18</v>
      </c>
    </row>
    <row r="1318" spans="1:23">
      <c r="A1318"/>
      <c r="B1318" t="s">
        <v>142</v>
      </c>
      <c r="C1318" t="s">
        <v>142</v>
      </c>
      <c r="D1318" t="s">
        <v>33</v>
      </c>
      <c r="E1318" t="s">
        <v>34</v>
      </c>
      <c r="F1318" t="str">
        <f>"0014934"</f>
        <v>0014934</v>
      </c>
      <c r="G1318">
        <v>1</v>
      </c>
      <c r="H1318" t="str">
        <f>"00000001"</f>
        <v>00000001</v>
      </c>
      <c r="I1318" t="s">
        <v>35</v>
      </c>
      <c r="J1318"/>
      <c r="K1318">
        <v>14.41</v>
      </c>
      <c r="L1318">
        <v>0.0</v>
      </c>
      <c r="M1318"/>
      <c r="N1318"/>
      <c r="O1318">
        <v>2.59</v>
      </c>
      <c r="P1318">
        <v>0.0</v>
      </c>
      <c r="Q1318">
        <v>17.0</v>
      </c>
      <c r="R1318"/>
      <c r="S1318"/>
      <c r="T1318"/>
      <c r="U1318"/>
      <c r="V1318"/>
      <c r="W1318">
        <v>18</v>
      </c>
    </row>
    <row r="1319" spans="1:23">
      <c r="A1319"/>
      <c r="B1319" t="s">
        <v>142</v>
      </c>
      <c r="C1319" t="s">
        <v>142</v>
      </c>
      <c r="D1319" t="s">
        <v>33</v>
      </c>
      <c r="E1319" t="s">
        <v>34</v>
      </c>
      <c r="F1319" t="str">
        <f>"0014935"</f>
        <v>0014935</v>
      </c>
      <c r="G1319">
        <v>1</v>
      </c>
      <c r="H1319" t="str">
        <f>"00000001"</f>
        <v>00000001</v>
      </c>
      <c r="I1319" t="s">
        <v>35</v>
      </c>
      <c r="J1319"/>
      <c r="K1319">
        <v>25.85</v>
      </c>
      <c r="L1319">
        <v>0.0</v>
      </c>
      <c r="M1319"/>
      <c r="N1319"/>
      <c r="O1319">
        <v>4.65</v>
      </c>
      <c r="P1319">
        <v>0.0</v>
      </c>
      <c r="Q1319">
        <v>30.5</v>
      </c>
      <c r="R1319"/>
      <c r="S1319"/>
      <c r="T1319"/>
      <c r="U1319"/>
      <c r="V1319"/>
      <c r="W1319">
        <v>18</v>
      </c>
    </row>
    <row r="1320" spans="1:23">
      <c r="A1320"/>
      <c r="B1320" t="s">
        <v>142</v>
      </c>
      <c r="C1320" t="s">
        <v>142</v>
      </c>
      <c r="D1320" t="s">
        <v>33</v>
      </c>
      <c r="E1320" t="s">
        <v>34</v>
      </c>
      <c r="F1320" t="str">
        <f>"0014936"</f>
        <v>0014936</v>
      </c>
      <c r="G1320">
        <v>1</v>
      </c>
      <c r="H1320" t="str">
        <f>"00000001"</f>
        <v>00000001</v>
      </c>
      <c r="I1320" t="s">
        <v>35</v>
      </c>
      <c r="J1320"/>
      <c r="K1320">
        <v>15.68</v>
      </c>
      <c r="L1320">
        <v>0.0</v>
      </c>
      <c r="M1320"/>
      <c r="N1320"/>
      <c r="O1320">
        <v>2.82</v>
      </c>
      <c r="P1320">
        <v>0.0</v>
      </c>
      <c r="Q1320">
        <v>18.5</v>
      </c>
      <c r="R1320"/>
      <c r="S1320"/>
      <c r="T1320"/>
      <c r="U1320"/>
      <c r="V1320"/>
      <c r="W1320">
        <v>18</v>
      </c>
    </row>
    <row r="1321" spans="1:23">
      <c r="A1321"/>
      <c r="B1321" t="s">
        <v>142</v>
      </c>
      <c r="C1321" t="s">
        <v>142</v>
      </c>
      <c r="D1321" t="s">
        <v>33</v>
      </c>
      <c r="E1321" t="s">
        <v>34</v>
      </c>
      <c r="F1321" t="str">
        <f>"0014937"</f>
        <v>0014937</v>
      </c>
      <c r="G1321">
        <v>1</v>
      </c>
      <c r="H1321" t="str">
        <f>"00000001"</f>
        <v>00000001</v>
      </c>
      <c r="I1321" t="s">
        <v>35</v>
      </c>
      <c r="J1321"/>
      <c r="K1321">
        <v>27.97</v>
      </c>
      <c r="L1321">
        <v>0.0</v>
      </c>
      <c r="M1321"/>
      <c r="N1321"/>
      <c r="O1321">
        <v>5.03</v>
      </c>
      <c r="P1321">
        <v>0.0</v>
      </c>
      <c r="Q1321">
        <v>33.0</v>
      </c>
      <c r="R1321"/>
      <c r="S1321"/>
      <c r="T1321"/>
      <c r="U1321"/>
      <c r="V1321"/>
      <c r="W1321">
        <v>18</v>
      </c>
    </row>
    <row r="1322" spans="1:23">
      <c r="A1322"/>
      <c r="B1322" t="s">
        <v>142</v>
      </c>
      <c r="C1322" t="s">
        <v>142</v>
      </c>
      <c r="D1322" t="s">
        <v>33</v>
      </c>
      <c r="E1322" t="s">
        <v>34</v>
      </c>
      <c r="F1322" t="str">
        <f>"0014938"</f>
        <v>0014938</v>
      </c>
      <c r="G1322">
        <v>1</v>
      </c>
      <c r="H1322" t="str">
        <f>"00000001"</f>
        <v>00000001</v>
      </c>
      <c r="I1322" t="s">
        <v>35</v>
      </c>
      <c r="J1322"/>
      <c r="K1322">
        <v>21.19</v>
      </c>
      <c r="L1322">
        <v>0.0</v>
      </c>
      <c r="M1322"/>
      <c r="N1322"/>
      <c r="O1322">
        <v>3.81</v>
      </c>
      <c r="P1322">
        <v>0.0</v>
      </c>
      <c r="Q1322">
        <v>25.0</v>
      </c>
      <c r="R1322"/>
      <c r="S1322"/>
      <c r="T1322"/>
      <c r="U1322"/>
      <c r="V1322"/>
      <c r="W1322">
        <v>18</v>
      </c>
    </row>
    <row r="1323" spans="1:23">
      <c r="A1323"/>
      <c r="B1323" t="s">
        <v>142</v>
      </c>
      <c r="C1323" t="s">
        <v>142</v>
      </c>
      <c r="D1323" t="s">
        <v>33</v>
      </c>
      <c r="E1323" t="s">
        <v>34</v>
      </c>
      <c r="F1323" t="str">
        <f>"0014939"</f>
        <v>0014939</v>
      </c>
      <c r="G1323">
        <v>6</v>
      </c>
      <c r="H1323" t="str">
        <f>"20148260843"</f>
        <v>20148260843</v>
      </c>
      <c r="I1323" t="s">
        <v>91</v>
      </c>
      <c r="J1323"/>
      <c r="K1323">
        <v>5.08</v>
      </c>
      <c r="L1323">
        <v>0.0</v>
      </c>
      <c r="M1323"/>
      <c r="N1323"/>
      <c r="O1323">
        <v>0.92</v>
      </c>
      <c r="P1323">
        <v>0.0</v>
      </c>
      <c r="Q1323">
        <v>6.0</v>
      </c>
      <c r="R1323"/>
      <c r="S1323"/>
      <c r="T1323"/>
      <c r="U1323"/>
      <c r="V1323"/>
      <c r="W1323">
        <v>18</v>
      </c>
    </row>
    <row r="1324" spans="1:23">
      <c r="A1324"/>
      <c r="B1324" t="s">
        <v>142</v>
      </c>
      <c r="C1324" t="s">
        <v>142</v>
      </c>
      <c r="D1324" t="s">
        <v>33</v>
      </c>
      <c r="E1324" t="s">
        <v>34</v>
      </c>
      <c r="F1324" t="str">
        <f>"0014940"</f>
        <v>0014940</v>
      </c>
      <c r="G1324">
        <v>1</v>
      </c>
      <c r="H1324" t="str">
        <f>"00000001"</f>
        <v>00000001</v>
      </c>
      <c r="I1324" t="s">
        <v>35</v>
      </c>
      <c r="J1324"/>
      <c r="K1324">
        <v>16.95</v>
      </c>
      <c r="L1324">
        <v>0.0</v>
      </c>
      <c r="M1324"/>
      <c r="N1324"/>
      <c r="O1324">
        <v>3.05</v>
      </c>
      <c r="P1324">
        <v>0.0</v>
      </c>
      <c r="Q1324">
        <v>20.0</v>
      </c>
      <c r="R1324"/>
      <c r="S1324"/>
      <c r="T1324"/>
      <c r="U1324"/>
      <c r="V1324"/>
      <c r="W1324">
        <v>18</v>
      </c>
    </row>
    <row r="1325" spans="1:23">
      <c r="A1325"/>
      <c r="B1325" t="s">
        <v>142</v>
      </c>
      <c r="C1325" t="s">
        <v>142</v>
      </c>
      <c r="D1325" t="s">
        <v>33</v>
      </c>
      <c r="E1325" t="s">
        <v>34</v>
      </c>
      <c r="F1325" t="str">
        <f>"0014941"</f>
        <v>0014941</v>
      </c>
      <c r="G1325">
        <v>1</v>
      </c>
      <c r="H1325" t="str">
        <f>"00000001"</f>
        <v>00000001</v>
      </c>
      <c r="I1325" t="s">
        <v>35</v>
      </c>
      <c r="J1325"/>
      <c r="K1325">
        <v>35.59</v>
      </c>
      <c r="L1325">
        <v>0.0</v>
      </c>
      <c r="M1325"/>
      <c r="N1325"/>
      <c r="O1325">
        <v>6.41</v>
      </c>
      <c r="P1325">
        <v>0.0</v>
      </c>
      <c r="Q1325">
        <v>42.0</v>
      </c>
      <c r="R1325"/>
      <c r="S1325"/>
      <c r="T1325"/>
      <c r="U1325"/>
      <c r="V1325"/>
      <c r="W1325">
        <v>18</v>
      </c>
    </row>
    <row r="1326" spans="1:23">
      <c r="A1326"/>
      <c r="B1326" t="s">
        <v>142</v>
      </c>
      <c r="C1326" t="s">
        <v>142</v>
      </c>
      <c r="D1326" t="s">
        <v>33</v>
      </c>
      <c r="E1326" t="s">
        <v>34</v>
      </c>
      <c r="F1326" t="str">
        <f>"0014942"</f>
        <v>0014942</v>
      </c>
      <c r="G1326">
        <v>1</v>
      </c>
      <c r="H1326" t="str">
        <f>"00000001"</f>
        <v>00000001</v>
      </c>
      <c r="I1326" t="s">
        <v>35</v>
      </c>
      <c r="J1326"/>
      <c r="K1326">
        <v>18.64</v>
      </c>
      <c r="L1326">
        <v>0.0</v>
      </c>
      <c r="M1326"/>
      <c r="N1326"/>
      <c r="O1326">
        <v>3.36</v>
      </c>
      <c r="P1326">
        <v>0.0</v>
      </c>
      <c r="Q1326">
        <v>22.0</v>
      </c>
      <c r="R1326"/>
      <c r="S1326"/>
      <c r="T1326"/>
      <c r="U1326"/>
      <c r="V1326"/>
      <c r="W1326">
        <v>18</v>
      </c>
    </row>
    <row r="1327" spans="1:23">
      <c r="A1327"/>
      <c r="B1327" t="s">
        <v>142</v>
      </c>
      <c r="C1327" t="s">
        <v>142</v>
      </c>
      <c r="D1327" t="s">
        <v>33</v>
      </c>
      <c r="E1327" t="s">
        <v>34</v>
      </c>
      <c r="F1327" t="str">
        <f>"0014943"</f>
        <v>0014943</v>
      </c>
      <c r="G1327">
        <v>1</v>
      </c>
      <c r="H1327" t="str">
        <f>"00000001"</f>
        <v>00000001</v>
      </c>
      <c r="I1327" t="s">
        <v>35</v>
      </c>
      <c r="J1327"/>
      <c r="K1327">
        <v>8.47</v>
      </c>
      <c r="L1327">
        <v>0.0</v>
      </c>
      <c r="M1327"/>
      <c r="N1327"/>
      <c r="O1327">
        <v>1.53</v>
      </c>
      <c r="P1327">
        <v>0.0</v>
      </c>
      <c r="Q1327">
        <v>10.0</v>
      </c>
      <c r="R1327"/>
      <c r="S1327"/>
      <c r="T1327"/>
      <c r="U1327"/>
      <c r="V1327"/>
      <c r="W1327">
        <v>18</v>
      </c>
    </row>
    <row r="1328" spans="1:23">
      <c r="A1328"/>
      <c r="B1328" t="s">
        <v>142</v>
      </c>
      <c r="C1328" t="s">
        <v>142</v>
      </c>
      <c r="D1328" t="s">
        <v>33</v>
      </c>
      <c r="E1328" t="s">
        <v>34</v>
      </c>
      <c r="F1328" t="str">
        <f>"0014944"</f>
        <v>0014944</v>
      </c>
      <c r="G1328">
        <v>1</v>
      </c>
      <c r="H1328" t="str">
        <f>"00000001"</f>
        <v>00000001</v>
      </c>
      <c r="I1328" t="s">
        <v>35</v>
      </c>
      <c r="J1328"/>
      <c r="K1328">
        <v>16.95</v>
      </c>
      <c r="L1328">
        <v>0.0</v>
      </c>
      <c r="M1328"/>
      <c r="N1328"/>
      <c r="O1328">
        <v>3.05</v>
      </c>
      <c r="P1328">
        <v>0.0</v>
      </c>
      <c r="Q1328">
        <v>20.0</v>
      </c>
      <c r="R1328"/>
      <c r="S1328"/>
      <c r="T1328"/>
      <c r="U1328"/>
      <c r="V1328"/>
      <c r="W1328">
        <v>18</v>
      </c>
    </row>
    <row r="1329" spans="1:23">
      <c r="A1329"/>
      <c r="B1329" t="s">
        <v>142</v>
      </c>
      <c r="C1329" t="s">
        <v>142</v>
      </c>
      <c r="D1329" t="s">
        <v>33</v>
      </c>
      <c r="E1329" t="s">
        <v>34</v>
      </c>
      <c r="F1329" t="str">
        <f>"0014945"</f>
        <v>0014945</v>
      </c>
      <c r="G1329">
        <v>1</v>
      </c>
      <c r="H1329" t="str">
        <f>"00000001"</f>
        <v>00000001</v>
      </c>
      <c r="I1329" t="s">
        <v>35</v>
      </c>
      <c r="J1329"/>
      <c r="K1329">
        <v>8.47</v>
      </c>
      <c r="L1329">
        <v>0.0</v>
      </c>
      <c r="M1329"/>
      <c r="N1329"/>
      <c r="O1329">
        <v>1.53</v>
      </c>
      <c r="P1329">
        <v>0.0</v>
      </c>
      <c r="Q1329">
        <v>10.0</v>
      </c>
      <c r="R1329"/>
      <c r="S1329"/>
      <c r="T1329"/>
      <c r="U1329"/>
      <c r="V1329"/>
      <c r="W1329">
        <v>18</v>
      </c>
    </row>
    <row r="1330" spans="1:23">
      <c r="A1330"/>
      <c r="B1330" t="s">
        <v>142</v>
      </c>
      <c r="C1330" t="s">
        <v>142</v>
      </c>
      <c r="D1330" t="s">
        <v>33</v>
      </c>
      <c r="E1330" t="s">
        <v>34</v>
      </c>
      <c r="F1330" t="str">
        <f>"0014946"</f>
        <v>0014946</v>
      </c>
      <c r="G1330">
        <v>1</v>
      </c>
      <c r="H1330" t="str">
        <f>"00000001"</f>
        <v>00000001</v>
      </c>
      <c r="I1330" t="s">
        <v>35</v>
      </c>
      <c r="J1330"/>
      <c r="K1330">
        <v>38.14</v>
      </c>
      <c r="L1330">
        <v>0.0</v>
      </c>
      <c r="M1330"/>
      <c r="N1330"/>
      <c r="O1330">
        <v>6.86</v>
      </c>
      <c r="P1330">
        <v>0.0</v>
      </c>
      <c r="Q1330">
        <v>45.0</v>
      </c>
      <c r="R1330"/>
      <c r="S1330"/>
      <c r="T1330"/>
      <c r="U1330"/>
      <c r="V1330"/>
      <c r="W1330">
        <v>18</v>
      </c>
    </row>
    <row r="1331" spans="1:23">
      <c r="A1331"/>
      <c r="B1331" t="s">
        <v>142</v>
      </c>
      <c r="C1331" t="s">
        <v>142</v>
      </c>
      <c r="D1331" t="s">
        <v>33</v>
      </c>
      <c r="E1331" t="s">
        <v>34</v>
      </c>
      <c r="F1331" t="str">
        <f>"0014947"</f>
        <v>0014947</v>
      </c>
      <c r="G1331">
        <v>1</v>
      </c>
      <c r="H1331" t="str">
        <f>"00000001"</f>
        <v>00000001</v>
      </c>
      <c r="I1331" t="s">
        <v>35</v>
      </c>
      <c r="J1331"/>
      <c r="K1331">
        <v>32.2</v>
      </c>
      <c r="L1331">
        <v>0.0</v>
      </c>
      <c r="M1331"/>
      <c r="N1331"/>
      <c r="O1331">
        <v>5.8</v>
      </c>
      <c r="P1331">
        <v>0.0</v>
      </c>
      <c r="Q1331">
        <v>38.0</v>
      </c>
      <c r="R1331"/>
      <c r="S1331"/>
      <c r="T1331"/>
      <c r="U1331"/>
      <c r="V1331"/>
      <c r="W1331">
        <v>18</v>
      </c>
    </row>
    <row r="1332" spans="1:23">
      <c r="A1332"/>
      <c r="B1332" t="s">
        <v>142</v>
      </c>
      <c r="C1332" t="s">
        <v>142</v>
      </c>
      <c r="D1332" t="s">
        <v>33</v>
      </c>
      <c r="E1332" t="s">
        <v>34</v>
      </c>
      <c r="F1332" t="str">
        <f>"0014948"</f>
        <v>0014948</v>
      </c>
      <c r="G1332">
        <v>1</v>
      </c>
      <c r="H1332" t="str">
        <f>"00000001"</f>
        <v>00000001</v>
      </c>
      <c r="I1332" t="s">
        <v>35</v>
      </c>
      <c r="J1332"/>
      <c r="K1332">
        <v>7.63</v>
      </c>
      <c r="L1332">
        <v>0.0</v>
      </c>
      <c r="M1332"/>
      <c r="N1332"/>
      <c r="O1332">
        <v>1.37</v>
      </c>
      <c r="P1332">
        <v>0.0</v>
      </c>
      <c r="Q1332">
        <v>9.0</v>
      </c>
      <c r="R1332"/>
      <c r="S1332"/>
      <c r="T1332"/>
      <c r="U1332"/>
      <c r="V1332"/>
      <c r="W1332">
        <v>18</v>
      </c>
    </row>
    <row r="1333" spans="1:23">
      <c r="A1333"/>
      <c r="B1333" t="s">
        <v>142</v>
      </c>
      <c r="C1333" t="s">
        <v>142</v>
      </c>
      <c r="D1333" t="s">
        <v>33</v>
      </c>
      <c r="E1333" t="s">
        <v>34</v>
      </c>
      <c r="F1333" t="str">
        <f>"0014949"</f>
        <v>0014949</v>
      </c>
      <c r="G1333">
        <v>1</v>
      </c>
      <c r="H1333" t="str">
        <f>"00000001"</f>
        <v>00000001</v>
      </c>
      <c r="I1333" t="s">
        <v>35</v>
      </c>
      <c r="J1333"/>
      <c r="K1333">
        <v>8.47</v>
      </c>
      <c r="L1333">
        <v>0.0</v>
      </c>
      <c r="M1333"/>
      <c r="N1333"/>
      <c r="O1333">
        <v>1.53</v>
      </c>
      <c r="P1333">
        <v>0.0</v>
      </c>
      <c r="Q1333">
        <v>10.0</v>
      </c>
      <c r="R1333"/>
      <c r="S1333"/>
      <c r="T1333"/>
      <c r="U1333"/>
      <c r="V1333"/>
      <c r="W1333">
        <v>18</v>
      </c>
    </row>
    <row r="1334" spans="1:23">
      <c r="A1334"/>
      <c r="B1334" t="s">
        <v>142</v>
      </c>
      <c r="C1334" t="s">
        <v>142</v>
      </c>
      <c r="D1334" t="s">
        <v>33</v>
      </c>
      <c r="E1334" t="s">
        <v>34</v>
      </c>
      <c r="F1334" t="str">
        <f>"0014950"</f>
        <v>0014950</v>
      </c>
      <c r="G1334">
        <v>1</v>
      </c>
      <c r="H1334" t="str">
        <f>"00000001"</f>
        <v>00000001</v>
      </c>
      <c r="I1334" t="s">
        <v>35</v>
      </c>
      <c r="J1334"/>
      <c r="K1334">
        <v>3.39</v>
      </c>
      <c r="L1334">
        <v>0.0</v>
      </c>
      <c r="M1334"/>
      <c r="N1334"/>
      <c r="O1334">
        <v>0.61</v>
      </c>
      <c r="P1334">
        <v>0.0</v>
      </c>
      <c r="Q1334">
        <v>4.0</v>
      </c>
      <c r="R1334"/>
      <c r="S1334"/>
      <c r="T1334"/>
      <c r="U1334"/>
      <c r="V1334"/>
      <c r="W1334">
        <v>18</v>
      </c>
    </row>
    <row r="1335" spans="1:23">
      <c r="A1335"/>
      <c r="B1335" t="s">
        <v>79</v>
      </c>
      <c r="C1335" t="s">
        <v>79</v>
      </c>
      <c r="D1335" t="s">
        <v>144</v>
      </c>
      <c r="E1335" t="s">
        <v>34</v>
      </c>
      <c r="F1335" t="str">
        <f>"0000139"</f>
        <v>0000139</v>
      </c>
      <c r="G1335">
        <v>6</v>
      </c>
      <c r="H1335" t="str">
        <f>"20612701548"</f>
        <v>20612701548</v>
      </c>
      <c r="I1335" t="s">
        <v>80</v>
      </c>
      <c r="J1335"/>
      <c r="K1335">
        <v>-30.34</v>
      </c>
      <c r="L1335">
        <v>0.0</v>
      </c>
      <c r="M1335"/>
      <c r="N1335"/>
      <c r="O1335">
        <v>-5.46</v>
      </c>
      <c r="P1335">
        <v>0.0</v>
      </c>
      <c r="Q1335">
        <v>-35.8</v>
      </c>
      <c r="R1335"/>
      <c r="S1335" t="s">
        <v>79</v>
      </c>
      <c r="T1335" t="s">
        <v>33</v>
      </c>
      <c r="U1335" t="s">
        <v>34</v>
      </c>
      <c r="V1335" t="s">
        <v>145</v>
      </c>
      <c r="W1335">
        <v>18</v>
      </c>
    </row>
    <row r="1336" spans="1:23">
      <c r="A1336"/>
      <c r="B1336" t="s">
        <v>102</v>
      </c>
      <c r="C1336" t="s">
        <v>102</v>
      </c>
      <c r="D1336" t="s">
        <v>144</v>
      </c>
      <c r="E1336" t="s">
        <v>34</v>
      </c>
      <c r="F1336" t="str">
        <f>"0000140"</f>
        <v>0000140</v>
      </c>
      <c r="G1336">
        <v>6</v>
      </c>
      <c r="H1336" t="str">
        <f>"20608580833"</f>
        <v>20608580833</v>
      </c>
      <c r="I1336" t="s">
        <v>78</v>
      </c>
      <c r="J1336"/>
      <c r="K1336">
        <v>-28.81</v>
      </c>
      <c r="L1336">
        <v>0.0</v>
      </c>
      <c r="M1336"/>
      <c r="N1336"/>
      <c r="O1336">
        <v>-5.19</v>
      </c>
      <c r="P1336">
        <v>0.0</v>
      </c>
      <c r="Q1336">
        <v>-34.0</v>
      </c>
      <c r="R1336"/>
      <c r="S1336" t="s">
        <v>102</v>
      </c>
      <c r="T1336" t="s">
        <v>33</v>
      </c>
      <c r="U1336" t="s">
        <v>34</v>
      </c>
      <c r="V1336" t="s">
        <v>146</v>
      </c>
      <c r="W1336">
        <v>18</v>
      </c>
    </row>
    <row r="1337" spans="1:23">
      <c r="A1337"/>
      <c r="B1337" t="s">
        <v>121</v>
      </c>
      <c r="C1337" t="s">
        <v>121</v>
      </c>
      <c r="D1337" t="s">
        <v>144</v>
      </c>
      <c r="E1337" t="s">
        <v>34</v>
      </c>
      <c r="F1337" t="str">
        <f>"0000141"</f>
        <v>0000141</v>
      </c>
      <c r="G1337">
        <v>1</v>
      </c>
      <c r="H1337" t="str">
        <f>"70658712"</f>
        <v>70658712</v>
      </c>
      <c r="I1337" t="s">
        <v>50</v>
      </c>
      <c r="J1337"/>
      <c r="K1337">
        <v>-0.85</v>
      </c>
      <c r="L1337">
        <v>0.0</v>
      </c>
      <c r="M1337"/>
      <c r="N1337"/>
      <c r="O1337">
        <v>-0.15</v>
      </c>
      <c r="P1337">
        <v>0.0</v>
      </c>
      <c r="Q1337">
        <v>-1.0</v>
      </c>
      <c r="R1337"/>
      <c r="S1337" t="s">
        <v>121</v>
      </c>
      <c r="T1337" t="s">
        <v>33</v>
      </c>
      <c r="U1337" t="s">
        <v>34</v>
      </c>
      <c r="V1337" t="s">
        <v>147</v>
      </c>
      <c r="W1337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2025-10-08T22:54:30+00:00</dcterms:created>
  <dcterms:modified xsi:type="dcterms:W3CDTF">2025-10-08T22:54:30+00:00</dcterms:modified>
  <dc:title>Untitled Spreadsheet</dc:title>
  <dc:description/>
  <dc:subject/>
  <cp:keywords/>
  <cp:category/>
</cp:coreProperties>
</file>